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iegerwo\AppData\Roaming\OpenText\OTEdit\EC_ll971kwr\c72149995\"/>
    </mc:Choice>
  </mc:AlternateContent>
  <xr:revisionPtr revIDLastSave="0" documentId="13_ncr:1_{03ADCBD8-9618-43B9-9EBE-7FCF66D4A23E}" xr6:coauthVersionLast="47" xr6:coauthVersionMax="47" xr10:uidLastSave="{00000000-0000-0000-0000-000000000000}"/>
  <bookViews>
    <workbookView xWindow="-3450" yWindow="-18120" windowWidth="29040" windowHeight="17640" xr2:uid="{DC9AC5E0-A09A-4508-B403-B2068D7B3CDB}"/>
  </bookViews>
  <sheets>
    <sheet name="Overzicht AKF NL" sheetId="1" r:id="rId1"/>
  </sheets>
  <definedNames>
    <definedName name="_xlnm._FilterDatabase" localSheetId="0" hidden="1">'Overzicht AKF NL'!$A$2:$BF$39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0" i="1" l="1"/>
  <c r="V30" i="1"/>
  <c r="Y40" i="1"/>
  <c r="Y38" i="1"/>
  <c r="Y37" i="1"/>
  <c r="Y39" i="1"/>
  <c r="Y36" i="1"/>
  <c r="Y35" i="1"/>
  <c r="Y34" i="1"/>
  <c r="Y33" i="1"/>
  <c r="Y32" i="1"/>
  <c r="Y31" i="1"/>
  <c r="Y29" i="1"/>
  <c r="Y28" i="1"/>
  <c r="Y27" i="1"/>
  <c r="Y26" i="1"/>
  <c r="Y25" i="1"/>
  <c r="Y24" i="1"/>
  <c r="Y19" i="1"/>
  <c r="Y20" i="1"/>
  <c r="Y21" i="1"/>
  <c r="Y22" i="1"/>
  <c r="Y23" i="1"/>
  <c r="V40" i="1"/>
  <c r="V39" i="1"/>
  <c r="V38" i="1"/>
  <c r="V37" i="1"/>
  <c r="V36" i="1"/>
  <c r="V34" i="1"/>
  <c r="V31" i="1"/>
  <c r="V29" i="1"/>
  <c r="V28" i="1"/>
  <c r="V33" i="1"/>
  <c r="V32" i="1"/>
  <c r="V27" i="1"/>
  <c r="V25" i="1"/>
  <c r="V24" i="1"/>
  <c r="V23" i="1"/>
  <c r="V22" i="1"/>
  <c r="V21" i="1"/>
  <c r="V20" i="1"/>
  <c r="V19" i="1"/>
  <c r="V17" i="1"/>
  <c r="Y6" i="1"/>
  <c r="Y5" i="1"/>
  <c r="Y4" i="1"/>
  <c r="Y16" i="1"/>
  <c r="Y15" i="1"/>
  <c r="Y14" i="1"/>
  <c r="Y13" i="1"/>
  <c r="Y12" i="1"/>
  <c r="Y11" i="1"/>
  <c r="AB19" i="1"/>
  <c r="AB17" i="1"/>
  <c r="V5" i="1"/>
  <c r="V6" i="1"/>
  <c r="V4" i="1"/>
  <c r="V16" i="1"/>
  <c r="V15" i="1"/>
  <c r="V14" i="1"/>
  <c r="V13" i="1"/>
  <c r="V12" i="1"/>
  <c r="V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Waal, Luuk de</author>
  </authors>
  <commentList>
    <comment ref="B15" authorId="0" shapeId="0" xr:uid="{FCF391CF-F4C5-47E7-9F4E-DB5FC8FC213C}">
      <text>
        <r>
          <rPr>
            <b/>
            <sz val="9"/>
            <color indexed="81"/>
            <rFont val="Tahoma"/>
            <family val="2"/>
          </rPr>
          <t>Waal, Luuk de:</t>
        </r>
        <r>
          <rPr>
            <sz val="9"/>
            <color indexed="81"/>
            <rFont val="Tahoma"/>
            <family val="2"/>
          </rPr>
          <t xml:space="preserve">
Totale productie van Ouddorp: 2.235.000 m3/jaar</t>
        </r>
      </text>
    </comment>
  </commentList>
</comments>
</file>

<file path=xl/sharedStrings.xml><?xml version="1.0" encoding="utf-8"?>
<sst xmlns="http://schemas.openxmlformats.org/spreadsheetml/2006/main" count="1320" uniqueCount="549">
  <si>
    <t>Oppervlaktewater</t>
  </si>
  <si>
    <t>Grondwater</t>
  </si>
  <si>
    <t>Coordinaten</t>
  </si>
  <si>
    <t>Opmerking(en)</t>
  </si>
  <si>
    <t>Straat + huisnummer, postcode</t>
  </si>
  <si>
    <t>Plaatsnaam</t>
  </si>
  <si>
    <t>Latitude</t>
  </si>
  <si>
    <t>Longitude</t>
  </si>
  <si>
    <t>Debiet voeding</t>
  </si>
  <si>
    <t>Voedingswater</t>
  </si>
  <si>
    <t>Brabant Water</t>
  </si>
  <si>
    <t>WPB Helmond</t>
  </si>
  <si>
    <t>Bakelsedijk 139, 5703JB</t>
  </si>
  <si>
    <t>Helmond</t>
  </si>
  <si>
    <t>Dunea</t>
  </si>
  <si>
    <t>Pompstation Bergambacht</t>
  </si>
  <si>
    <t>Provincialeweg 1 2861 EB</t>
  </si>
  <si>
    <t>Bergambacht</t>
  </si>
  <si>
    <t>Pompstation Scheveningen</t>
  </si>
  <si>
    <t>Den Haag</t>
  </si>
  <si>
    <t>Pompstation Katwijk</t>
  </si>
  <si>
    <t>Katwijk</t>
  </si>
  <si>
    <t>Pompstation Monster</t>
  </si>
  <si>
    <t>Monster</t>
  </si>
  <si>
    <t>Baanhoek</t>
  </si>
  <si>
    <t>Baanhoekweg 7, 3313 LA</t>
  </si>
  <si>
    <t>Dordrecht</t>
  </si>
  <si>
    <t>Berenplaat</t>
  </si>
  <si>
    <t>Berenplaat 10, 3207 LB</t>
  </si>
  <si>
    <t>Spijkenisse</t>
  </si>
  <si>
    <t>Braakman</t>
  </si>
  <si>
    <t>Lozeschorweg 2, 4542 PP</t>
  </si>
  <si>
    <t>Hoek</t>
  </si>
  <si>
    <t>Haamstede</t>
  </si>
  <si>
    <t>A. van der Weijdeweg 6, 4328 PT</t>
  </si>
  <si>
    <t>Ouddorp</t>
  </si>
  <si>
    <t>Hondsweg 12, 3252 LH</t>
  </si>
  <si>
    <t>Goedereede</t>
  </si>
  <si>
    <t>Kralingen</t>
  </si>
  <si>
    <t>Schaardijk 150, 3063 NH</t>
  </si>
  <si>
    <t>Rotterdam</t>
  </si>
  <si>
    <t>Oasen</t>
  </si>
  <si>
    <t>Reijerwaard</t>
  </si>
  <si>
    <t>Kievietsweg 123, 2983 AD</t>
  </si>
  <si>
    <t>Ridderkerk</t>
  </si>
  <si>
    <t>Schuwacht</t>
  </si>
  <si>
    <t>Schuwacht 7, 2931 BA</t>
  </si>
  <si>
    <t>Krimpen aan de Lek</t>
  </si>
  <si>
    <t>De Steeg</t>
  </si>
  <si>
    <t>Melkweg 17, 2967 LA</t>
  </si>
  <si>
    <t>Langerak</t>
  </si>
  <si>
    <t>De Laak</t>
  </si>
  <si>
    <t>Heicopperweg 5, 4128 LP</t>
  </si>
  <si>
    <t>Lexmond</t>
  </si>
  <si>
    <t>Rodenhuis</t>
  </si>
  <si>
    <t>Provinciale weg 11A, 2861 GH</t>
  </si>
  <si>
    <t>Drinkwaterproductiebedrijf Martien den Blanken</t>
  </si>
  <si>
    <t>Dijkweg 12  1619HA</t>
  </si>
  <si>
    <t>Andijk</t>
  </si>
  <si>
    <t>productiebedrijf Jan Lagrand</t>
  </si>
  <si>
    <t>Waterweg 1, 1969 GA</t>
  </si>
  <si>
    <t>Heemskerk</t>
  </si>
  <si>
    <t>PWN</t>
  </si>
  <si>
    <t>Vitens</t>
  </si>
  <si>
    <t>Engels Werk</t>
  </si>
  <si>
    <t>Ruiterlaan 45, 8019 BP</t>
  </si>
  <si>
    <t>Zwolle</t>
  </si>
  <si>
    <t>Groenekan</t>
  </si>
  <si>
    <t>Ruigenhoeksedijk 56, 3737 MN</t>
  </si>
  <si>
    <t>Hammerflier</t>
  </si>
  <si>
    <t>Bakkersweg 12, 7683 SV</t>
  </si>
  <si>
    <t>Den Ham</t>
  </si>
  <si>
    <t>Laren</t>
  </si>
  <si>
    <t>Hilversumseweg 57, 1251 EW</t>
  </si>
  <si>
    <t>Vechterweerd</t>
  </si>
  <si>
    <t>Koepelallee 15, 7722 KT</t>
  </si>
  <si>
    <t>Dalfsen</t>
  </si>
  <si>
    <t>Zeist</t>
  </si>
  <si>
    <t>Bergweg 101a, 3707 AC</t>
  </si>
  <si>
    <t>Waternet</t>
  </si>
  <si>
    <t>Leiduin</t>
  </si>
  <si>
    <t>Weesperkarspel</t>
  </si>
  <si>
    <t>Driemondsweg 21, 1108 AA</t>
  </si>
  <si>
    <t>Amsterdam</t>
  </si>
  <si>
    <t xml:space="preserve">De Punt </t>
  </si>
  <si>
    <t xml:space="preserve">Rijksstraatweg 83, 9756 AD </t>
  </si>
  <si>
    <t>Glimmen</t>
  </si>
  <si>
    <t>p.s. Noordbargeres</t>
  </si>
  <si>
    <t xml:space="preserve">Vreding 24 </t>
  </si>
  <si>
    <t>Emmen</t>
  </si>
  <si>
    <t>WML</t>
  </si>
  <si>
    <t>Grubbenvorst</t>
  </si>
  <si>
    <t>Heel</t>
  </si>
  <si>
    <t>Roosteren - Radiaal</t>
  </si>
  <si>
    <t>Roosteren - West</t>
  </si>
  <si>
    <t>s Gravensloot 36, 3471  BP</t>
  </si>
  <si>
    <t>Kamerik</t>
  </si>
  <si>
    <t>Middelweg 82, 2957 TH</t>
  </si>
  <si>
    <t>Nieuw-Lekkerland</t>
  </si>
  <si>
    <t>Doel van de AKF</t>
  </si>
  <si>
    <t>tekst</t>
  </si>
  <si>
    <t>Plaats in de zuivering</t>
  </si>
  <si>
    <t>Aantal filters normaal in gebruik</t>
  </si>
  <si>
    <t>(-)</t>
  </si>
  <si>
    <t>In serie of parallel</t>
  </si>
  <si>
    <t>Leverancier AKF</t>
  </si>
  <si>
    <t>Type AKF</t>
  </si>
  <si>
    <t>Afmetingen, l*b*h of diameter en hoogte</t>
  </si>
  <si>
    <t>Vorm filters, rechthoekig of rond</t>
  </si>
  <si>
    <t>(m)</t>
  </si>
  <si>
    <t>Max/min debiet</t>
  </si>
  <si>
    <t>(m3/uur)</t>
  </si>
  <si>
    <t>(€/m3)</t>
  </si>
  <si>
    <t>Volume AK per filter</t>
  </si>
  <si>
    <t>(m3)</t>
  </si>
  <si>
    <t>Toegepaste contacttijd</t>
  </si>
  <si>
    <t>(min)</t>
  </si>
  <si>
    <t>ja/nee</t>
  </si>
  <si>
    <t>Is invloed gemeten van contacttijd op doorbraak indicatieparameter?</t>
  </si>
  <si>
    <t>Standtijd</t>
  </si>
  <si>
    <t>jaar</t>
  </si>
  <si>
    <t>Aantal BV</t>
  </si>
  <si>
    <t>per jaar</t>
  </si>
  <si>
    <t>Reactievatie criterium of keuze standtijd</t>
  </si>
  <si>
    <t>Indicatieparameter voor reactivatie</t>
  </si>
  <si>
    <t>Reactivatie protocol leverancier</t>
  </si>
  <si>
    <t>Terugspoel protocol</t>
  </si>
  <si>
    <t>Opbouw spoelprogramma</t>
  </si>
  <si>
    <t>Spoel criterium</t>
  </si>
  <si>
    <t>Bedexpansie</t>
  </si>
  <si>
    <t>(%)</t>
  </si>
  <si>
    <t>Spoelsnelheid gecorrigeerd voor water temperatuur?</t>
  </si>
  <si>
    <t>Worden filters stilgezet?</t>
  </si>
  <si>
    <t>Reden stilstand</t>
  </si>
  <si>
    <t>Tijdsduur</t>
  </si>
  <si>
    <t>(uur)</t>
  </si>
  <si>
    <t>Periode van het jaar</t>
  </si>
  <si>
    <t>Treedt anaerobie op?</t>
  </si>
  <si>
    <t>Procedure voor stilstand</t>
  </si>
  <si>
    <t>Regelmatig voorkomende storingen</t>
  </si>
  <si>
    <t>Aanpassingen nabije toekomst?</t>
  </si>
  <si>
    <t>Lopend proefinstallatie onderzoek of plannen?</t>
  </si>
  <si>
    <t>Reden</t>
  </si>
  <si>
    <t>Kwantificering van zuurstofgebruik</t>
  </si>
  <si>
    <t>(mg/l)</t>
  </si>
  <si>
    <t>idem zuurgraadverandering</t>
  </si>
  <si>
    <t>idem DOC-verwijdering biologisch</t>
  </si>
  <si>
    <t>idem DOC-verwijdering adsorptief</t>
  </si>
  <si>
    <t>Biologische stabiliteit BPP test beschikbaar?</t>
  </si>
  <si>
    <t>(.../l)</t>
  </si>
  <si>
    <t>Schatting kosten inclusief regeneratie</t>
  </si>
  <si>
    <t>Debiet en bron</t>
  </si>
  <si>
    <t>Kosten</t>
  </si>
  <si>
    <t xml:space="preserve">Aantal  </t>
  </si>
  <si>
    <t>Contacttijd</t>
  </si>
  <si>
    <t>Reactivatie</t>
  </si>
  <si>
    <t>Terugspoelen</t>
  </si>
  <si>
    <t>Stopzetten</t>
  </si>
  <si>
    <t>Storingen/toekomst</t>
  </si>
  <si>
    <t>Proefinstallatie</t>
  </si>
  <si>
    <t>Metingen/analyses</t>
  </si>
  <si>
    <t>Is de AKF de laatste zuivering stap?</t>
  </si>
  <si>
    <t>Filter informatie</t>
  </si>
  <si>
    <t>Drukfilter of gravitatiefilter</t>
  </si>
  <si>
    <t>Drinkwaterbedrijf</t>
  </si>
  <si>
    <t>Naam drinkwaterproductielocatie</t>
  </si>
  <si>
    <t>Evides Waterbedrijf</t>
  </si>
  <si>
    <t>Waterbedrijf Groningen</t>
  </si>
  <si>
    <t>WMD Drinkwater</t>
  </si>
  <si>
    <t>Pompstationsweg 351, 2597 JV</t>
  </si>
  <si>
    <t>Cantineweg 19a, 2224 XP </t>
  </si>
  <si>
    <t>Haagweg 80, 2681 PD</t>
  </si>
  <si>
    <t>Inflitratie water</t>
  </si>
  <si>
    <t>Oeverfiltraat</t>
  </si>
  <si>
    <t>Drinkwaterproductielocatie</t>
  </si>
  <si>
    <t>Biologische stabiliteit parameter MBC7</t>
  </si>
  <si>
    <t>Biologische stabiliteit parameter MBG7</t>
  </si>
  <si>
    <t>Biologische stabiliteit parameter CPB14</t>
  </si>
  <si>
    <t>Biologische stabiliteit parameter TOC</t>
  </si>
  <si>
    <t>Biologische stabiliteit parameter PHMOC</t>
  </si>
  <si>
    <t>MCPP verwijdering</t>
  </si>
  <si>
    <t>Na winput anaeroob</t>
  </si>
  <si>
    <t>nee</t>
  </si>
  <si>
    <t>Chemviron</t>
  </si>
  <si>
    <t>F400 pH-controlled</t>
  </si>
  <si>
    <t xml:space="preserve">Drukfilter </t>
  </si>
  <si>
    <t>Rond</t>
  </si>
  <si>
    <t>4 m2</t>
  </si>
  <si>
    <t>MCPP &gt; rapportagegrens</t>
  </si>
  <si>
    <t xml:space="preserve">1,2 jaar </t>
  </si>
  <si>
    <t>MCPP</t>
  </si>
  <si>
    <t>Na vullen terugspoelen voor verwijderen fines</t>
  </si>
  <si>
    <t>NVT</t>
  </si>
  <si>
    <t>visueel terugspoelen met ca 18 m/h</t>
  </si>
  <si>
    <t>ja</t>
  </si>
  <si>
    <t>Ja</t>
  </si>
  <si>
    <t>Nee</t>
  </si>
  <si>
    <t>nvt</t>
  </si>
  <si>
    <t>Is al een aneroob filter</t>
  </si>
  <si>
    <t>WPB Nuland</t>
  </si>
  <si>
    <t>Waterleidingstraat 1 5293NC</t>
  </si>
  <si>
    <t>Kleurverwijdering</t>
  </si>
  <si>
    <t>Laatste stap van de zuivering</t>
  </si>
  <si>
    <t>Parallel</t>
  </si>
  <si>
    <t>F400</t>
  </si>
  <si>
    <t>Gravitatiefilter</t>
  </si>
  <si>
    <t>Rechthoekig</t>
  </si>
  <si>
    <t>33 m2</t>
  </si>
  <si>
    <t>&gt;2 jaar</t>
  </si>
  <si>
    <t>Cheviron</t>
  </si>
  <si>
    <t>roulerende filters</t>
  </si>
  <si>
    <t>Dagen</t>
  </si>
  <si>
    <t>Random</t>
  </si>
  <si>
    <t>Nuland</t>
  </si>
  <si>
    <t xml:space="preserve">Kleur uitgaand rein &gt; 9 AKF met langset standtijd regeneren </t>
  </si>
  <si>
    <t>Kleur</t>
  </si>
  <si>
    <t>Drukopbouw</t>
  </si>
  <si>
    <t>20 min spoelen met 18 m/h</t>
  </si>
  <si>
    <t>WPB Vessem</t>
  </si>
  <si>
    <t>Merenweg 4 5513 NZ</t>
  </si>
  <si>
    <t>Wintelre</t>
  </si>
  <si>
    <t>Anaeroob grondwater</t>
  </si>
  <si>
    <t>Nafiltraat</t>
  </si>
  <si>
    <t>Bentazon</t>
  </si>
  <si>
    <t>parallel</t>
  </si>
  <si>
    <t>Drukfilter</t>
  </si>
  <si>
    <t>12,6 m2</t>
  </si>
  <si>
    <t>Bentazon reinwater &lt; rapporatgegrens</t>
  </si>
  <si>
    <t>Verwachting &gt; 5 jaar</t>
  </si>
  <si>
    <t xml:space="preserve">min: 3.500 max: 18.600 </t>
  </si>
  <si>
    <t>max: 2.260</t>
  </si>
  <si>
    <t>max: 900</t>
  </si>
  <si>
    <t>Oppervlaktewater / duininfiltraat</t>
  </si>
  <si>
    <t>max: 650</t>
  </si>
  <si>
    <t>Oppervlaktewater / duininfiltraat + zomers soms inzet diepe grondwaterbronnen</t>
  </si>
  <si>
    <t>min: 1850 max: 7200</t>
  </si>
  <si>
    <t xml:space="preserve">Kleur, smaak, geur, DOC-verwijdering, deeltjesverwijdering, omv-verwijdering, bijdrage in AMVD, biologische stabiliteit </t>
  </si>
  <si>
    <t>In Nazuivering, Na UV, voor ClO2</t>
  </si>
  <si>
    <t>Als ClO2-dosering meeteelt dan niet</t>
  </si>
  <si>
    <t>Na Voorzuivering, voor UV</t>
  </si>
  <si>
    <t>Na Voorzuivering, voor UF</t>
  </si>
  <si>
    <t>Filtrasorb TL830</t>
  </si>
  <si>
    <t>Filtrasorb F400</t>
  </si>
  <si>
    <t>Filtrasorb F300</t>
  </si>
  <si>
    <t>h= 4,2m; d=5,5m</t>
  </si>
  <si>
    <t>h= 4,0m; d=6,0m</t>
  </si>
  <si>
    <t>Gravitatie</t>
  </si>
  <si>
    <t>h=3,3m, A=24,7 m2</t>
  </si>
  <si>
    <t>h=2m, A=24m2</t>
  </si>
  <si>
    <t>h= 2,5m A=21 m2</t>
  </si>
  <si>
    <t>h= 4,25m; d=6,0m</t>
  </si>
  <si>
    <t>(m/h)</t>
  </si>
  <si>
    <t>PFAS /Aantal BV's</t>
  </si>
  <si>
    <t>Verhitting/oven</t>
  </si>
  <si>
    <t>Looptijd tenzij drukcriterium eerder wordt bereikt.</t>
  </si>
  <si>
    <t>Drainen tot filterbed, Waterspoelpulzen, Waterspoeling, Waterspoeling-ETSW</t>
  </si>
  <si>
    <t>Spec's kool 20-25%</t>
  </si>
  <si>
    <t>Drainen tot filterbed, Luchtspoeling, Waterspoeling</t>
  </si>
  <si>
    <t>Lage spoelwatersnelh, Waterspoeling</t>
  </si>
  <si>
    <t>Waterspoeling</t>
  </si>
  <si>
    <t>Bij storing of onderhoud</t>
  </si>
  <si>
    <t>Max 10h</t>
  </si>
  <si>
    <t>Nee, wel anoxisch</t>
  </si>
  <si>
    <t>AKF wordt gedraind weggezet, dus anoxisch</t>
  </si>
  <si>
    <t>6 mnd                  Max 10h</t>
  </si>
  <si>
    <t>Winterperiode, vanwege lage afzet (toerisme).</t>
  </si>
  <si>
    <t>Nee, het AKF wordt gereactiveerd en wordt bij terugkomst  stil gezet</t>
  </si>
  <si>
    <t>AKF wordt gedraind weggezet, niet in bedrijf genomen</t>
  </si>
  <si>
    <t>Nee, AKF wordt gedraind weggezet, dus anoxisch</t>
  </si>
  <si>
    <t>s 'winters bij een te laag debiet 1 vd 5 AKF's uit.                 Bij storing of onderhoud</t>
  </si>
  <si>
    <t>Regelmatig: geen Soms: kleppen, spoeldop</t>
  </si>
  <si>
    <t>Uitbreiding, 2 lijnen concept</t>
  </si>
  <si>
    <t>Spoeling eindigen met ETSW spoeling</t>
  </si>
  <si>
    <t>Verdergaande OMV-verwijdering en biostabiliteit, beperken biofouling nageschakeld NF of RO-systeem</t>
  </si>
  <si>
    <t>zomers 5g/l daling</t>
  </si>
  <si>
    <t>0,7 daling</t>
  </si>
  <si>
    <t>15-30%</t>
  </si>
  <si>
    <t>zomers 4g/l daling</t>
  </si>
  <si>
    <t>0,5 daling</t>
  </si>
  <si>
    <t>20-50%</t>
  </si>
  <si>
    <t>zomers 6g/l daling</t>
  </si>
  <si>
    <t>zomers 3 g/l daling</t>
  </si>
  <si>
    <t>0,3 daling</t>
  </si>
  <si>
    <t>DOC-verwijdering</t>
  </si>
  <si>
    <t>onbekend</t>
  </si>
  <si>
    <t>Niet regulier</t>
  </si>
  <si>
    <t>onbekend -&gt; DOC</t>
  </si>
  <si>
    <t>2,0-2,8</t>
  </si>
  <si>
    <t>1,8-2,8</t>
  </si>
  <si>
    <t>Biologische stabiliteit parameter DOC</t>
  </si>
  <si>
    <t>Laatste stap</t>
  </si>
  <si>
    <t xml:space="preserve">F400  </t>
  </si>
  <si>
    <t>Vierkant</t>
  </si>
  <si>
    <t>26 m2 * 2 m</t>
  </si>
  <si>
    <t>19,25 m2 * 1,85 m</t>
  </si>
  <si>
    <t>Voor de ontharding</t>
  </si>
  <si>
    <t>30 m2 * 2 m</t>
  </si>
  <si>
    <t>30 m2 * 1,9 m</t>
  </si>
  <si>
    <t>per 2 in serie</t>
  </si>
  <si>
    <t>27 m2 * 1,8 m</t>
  </si>
  <si>
    <t>~40</t>
  </si>
  <si>
    <t>~13</t>
  </si>
  <si>
    <t>bereiken van grens BV: 18750 (gebruikt voor 2024)</t>
  </si>
  <si>
    <t>bereiken van grens BV: 16000 (gebruikt voor 2024)</t>
  </si>
  <si>
    <t>bereiken van grens BV: 24000 (gebruikt voor 2024)</t>
  </si>
  <si>
    <t>3-3,5</t>
  </si>
  <si>
    <t>10500-12500</t>
  </si>
  <si>
    <t>bereiken van grens BV: 37500 (gebruikt voor 2024)</t>
  </si>
  <si>
    <t>1,5-2</t>
  </si>
  <si>
    <t>15000-22500</t>
  </si>
  <si>
    <t>bereiken van grens BV: 45000 (gebruikt voor 2024)</t>
  </si>
  <si>
    <t>38000 voor 2 filters in serie</t>
  </si>
  <si>
    <t>bereiken van grens BV voor 2 filters in serie: 76000 (gebruikt voor 2024)</t>
  </si>
  <si>
    <t>Na vullen + 1a2x per jaar</t>
  </si>
  <si>
    <t>standtijd</t>
  </si>
  <si>
    <t>Zuiveringslocatie sluit in de loop van 2023</t>
  </si>
  <si>
    <t>Overweging om vaker te regenereren i.v.m. TFA</t>
  </si>
  <si>
    <t>PFAS verwijdering</t>
  </si>
  <si>
    <t>verwijderen overmaat H2O2 verwijderen OMV's, verwijderen afbraakproducten AOP</t>
  </si>
  <si>
    <t>na UV/H2O2, laatste stap zuivering</t>
  </si>
  <si>
    <t>Norit(21x) Chemviron (2x)</t>
  </si>
  <si>
    <t xml:space="preserve"> ROW 0,8S (21x) TL830 (2x)</t>
  </si>
  <si>
    <t>28 m2</t>
  </si>
  <si>
    <t>18-40 minuten</t>
  </si>
  <si>
    <t xml:space="preserve">verwijderen overmaat H2O2  </t>
  </si>
  <si>
    <t>na UV/H2O2, voor duininfiltratie</t>
  </si>
  <si>
    <t xml:space="preserve">Norit </t>
  </si>
  <si>
    <t>RO3520</t>
  </si>
  <si>
    <t>rechthoekig</t>
  </si>
  <si>
    <t>6-8 minuten</t>
  </si>
  <si>
    <t>32 m2</t>
  </si>
  <si>
    <t>2 jaar standtijd</t>
  </si>
  <si>
    <t>2jaar</t>
  </si>
  <si>
    <t>-</t>
  </si>
  <si>
    <t>Norit</t>
  </si>
  <si>
    <t>geen reactivatie</t>
  </si>
  <si>
    <t>verlagen, spoelen lucht, spoelen water</t>
  </si>
  <si>
    <t>looptijd of drukopbouw</t>
  </si>
  <si>
    <t>20 min 1100 m³/h en afbouwend in 8 minuten</t>
  </si>
  <si>
    <t>average 1250 m3/h, maximum 2000 m3/h</t>
  </si>
  <si>
    <t>Vertrouwelijk</t>
  </si>
  <si>
    <t>Barierre omive</t>
  </si>
  <si>
    <t>Beluchting,. 2x snelfiltratie, deelstroom RO</t>
  </si>
  <si>
    <t>Nee, dat is intensieve beluchting</t>
  </si>
  <si>
    <t>1050 (900)</t>
  </si>
  <si>
    <t>MCPP, chlooretheen, bentazon</t>
  </si>
  <si>
    <t>versproeiing-snelfiltratie-versproeiing-koolfiltratie</t>
  </si>
  <si>
    <t>kleurverbetering</t>
  </si>
  <si>
    <t>snelfiltratie-koolfiltratie-reinwaterreservoir</t>
  </si>
  <si>
    <t>kleur en smaakverbetering</t>
  </si>
  <si>
    <t>versproeiing-snelfiltratiestap-koolfiltratie</t>
  </si>
  <si>
    <t>antropogene stoffen en deels DOC (kleur)</t>
  </si>
  <si>
    <t>na voorfiltratie en nafiltratie en 1 speciefiek AKF na RO</t>
  </si>
  <si>
    <t xml:space="preserve">trichlooretheen BAM </t>
  </si>
  <si>
    <t>torenbeluchting-marmerfiltratie-koolfiltratie</t>
  </si>
  <si>
    <t>Cabot Norit Nederland B.V. vervangt Chemviron</t>
  </si>
  <si>
    <t>Vervangt Filtrasorb 400</t>
  </si>
  <si>
    <t>Druk: 80 kpa</t>
  </si>
  <si>
    <t>rechthoek</t>
  </si>
  <si>
    <t>24 m2, h=2 m</t>
  </si>
  <si>
    <t>48 m3</t>
  </si>
  <si>
    <t>GAC 1020</t>
  </si>
  <si>
    <t>gravitatiefilter</t>
  </si>
  <si>
    <t>zes-hoekig</t>
  </si>
  <si>
    <t>38,8 m2 zeshoekig</t>
  </si>
  <si>
    <t>66 m3 (1,7 m bed * 38,8 m2)</t>
  </si>
  <si>
    <t>Filtrasorb 400</t>
  </si>
  <si>
    <t>drukfilter</t>
  </si>
  <si>
    <t>rond</t>
  </si>
  <si>
    <t>3,72 m2 h=2m</t>
  </si>
  <si>
    <t>7,44 m3</t>
  </si>
  <si>
    <t>Cabot Norit Nederland B.V.</t>
  </si>
  <si>
    <t>Norit Row 0,8 Supra</t>
  </si>
  <si>
    <t>7 m2 rond 3,00 m</t>
  </si>
  <si>
    <t>14 m3 (2 m bed * 7 m2)</t>
  </si>
  <si>
    <t>3 in de bypass en 1 na de RO</t>
  </si>
  <si>
    <t>gravitatiefilter (minimale overdruk)</t>
  </si>
  <si>
    <t>22,5 m3 (9 m2 * 2,5 m)</t>
  </si>
  <si>
    <t>34 min (bypass) en 11 min na RO</t>
  </si>
  <si>
    <t>8,2 m2 (rond 3,23 m)</t>
  </si>
  <si>
    <t>16,4 m3 (2 m bed * 8,2 m2)</t>
  </si>
  <si>
    <t>Maximum 14 min, gemiddeld 23 min.</t>
  </si>
  <si>
    <t>Onderzoek loopt nu voor PFAS</t>
  </si>
  <si>
    <t>tijd</t>
  </si>
  <si>
    <t>ca. 1x per 2 jaar</t>
  </si>
  <si>
    <t>Wordt opnieuw vastgesteld</t>
  </si>
  <si>
    <t>13  minuten</t>
  </si>
  <si>
    <t>bentazon</t>
  </si>
  <si>
    <t>ongeveer 3 jaar</t>
  </si>
  <si>
    <t>18 min</t>
  </si>
  <si>
    <t>ca. 1x per jaar</t>
  </si>
  <si>
    <t>15 min</t>
  </si>
  <si>
    <t>vroeger erlke 2 jaar nu 6-8 jaar</t>
  </si>
  <si>
    <t>doorslag TOC</t>
  </si>
  <si>
    <t>ca. 2x per jaar</t>
  </si>
  <si>
    <t>TOC</t>
  </si>
  <si>
    <t>9-16 minuten</t>
  </si>
  <si>
    <t xml:space="preserve">trichlooretheen en BAM voldoen al aan de nomrmen </t>
  </si>
  <si>
    <t>momenteel ca. 4 jaar</t>
  </si>
  <si>
    <t>was BAM; ruw gehalte nu ruim onder norm</t>
  </si>
  <si>
    <t>1x per jaar, 2e jaar leeg ivm reactivatie</t>
  </si>
  <si>
    <t>drukval</t>
  </si>
  <si>
    <t xml:space="preserve">2 min 0-360 m3/h; 20 min 360 m3/g met water; 2  min 360-10 m3/h  </t>
  </si>
  <si>
    <t>elke 2 weken ivm mangaan en ammonium-afvang</t>
  </si>
  <si>
    <t>tijd (2 weken)</t>
  </si>
  <si>
    <t>2 min opb 0-32 m/h 10 min water 32 m/h 4 min afb. 32-0 m/h</t>
  </si>
  <si>
    <t>circa 27%</t>
  </si>
  <si>
    <t>nee constate temperatuur grondwater 11C</t>
  </si>
  <si>
    <t>1-2 keer per jaar</t>
  </si>
  <si>
    <t>handmatig op schoonwater  in spoeloverstort</t>
  </si>
  <si>
    <t>alleen handmatig spoelen op basis van drukverschil</t>
  </si>
  <si>
    <t>1X per standtijd alleen handmatig om marmerstof af te spoelen</t>
  </si>
  <si>
    <t>alleen water</t>
  </si>
  <si>
    <t>nee, altijd recirculatie</t>
  </si>
  <si>
    <t>RWK-kelder vol</t>
  </si>
  <si>
    <t>meestal in de nachtelijke uren soms in de middag</t>
  </si>
  <si>
    <t>altijd</t>
  </si>
  <si>
    <t>niet</t>
  </si>
  <si>
    <t>in principe niet</t>
  </si>
  <si>
    <t>indien kelder vol</t>
  </si>
  <si>
    <t>kort</t>
  </si>
  <si>
    <t>circuleren met voedinsgwater</t>
  </si>
  <si>
    <t>bijna nooit</t>
  </si>
  <si>
    <t>ja, nieuwbouw</t>
  </si>
  <si>
    <t>ja, uitbreiding capaciteit zuivering</t>
  </si>
  <si>
    <t xml:space="preserve">- </t>
  </si>
  <si>
    <t xml:space="preserve">alleen bij inbreng nieuwe/gereactiveerde kool </t>
  </si>
  <si>
    <t>Ook verwijdering van mangaan, ammonium en rest-ijzer. Elke twee weken worden filters gespoeld. Nieuwbouw plannen aanwezig voor uitbreiding.</t>
  </si>
  <si>
    <t xml:space="preserve">Er wordt gewerkt aan verdubbeling van de capaciteit van pb Vechterweerd. Er zullen dan 5 AKF voor de bypass operationeel zijn en 1 AKF voor de RO. Contactijden worden dan 28 min voor de bypass en 7 min na RO. </t>
  </si>
  <si>
    <t>spoelen van de koolfilters is zeer incidenteel ivm afspoelen marmerstof uit de marmerfilters</t>
  </si>
  <si>
    <t>50-150</t>
  </si>
  <si>
    <t xml:space="preserve">Organische microverontreinigingen </t>
  </si>
  <si>
    <t xml:space="preserve">Na Coagulatie/flocculatie/ sedimentatie &amp; dubbellaagsfilter </t>
  </si>
  <si>
    <t>Cabot Norit</t>
  </si>
  <si>
    <t>Cabot Norit GAC 1240</t>
  </si>
  <si>
    <t>120-180</t>
  </si>
  <si>
    <t xml:space="preserve">Na de nafilters </t>
  </si>
  <si>
    <t>2-4 (8 beschikbaar)</t>
  </si>
  <si>
    <t>FILTRASORB TL830PH (GAC)</t>
  </si>
  <si>
    <t>2 m * 25 m2</t>
  </si>
  <si>
    <t>20 - 60 min.</t>
  </si>
  <si>
    <t>ca 23000</t>
  </si>
  <si>
    <t>Norit
10% nieuw kool</t>
  </si>
  <si>
    <t>Rond (ketel)</t>
  </si>
  <si>
    <t>3,15 m * 15,8 m2</t>
  </si>
  <si>
    <t>Standtijd of calcium opbouw, aangezien alle 8 ketels met nieuw kool zijn gevuld is dit nog niet bepaald (of verwacht op korte termijn)</t>
  </si>
  <si>
    <t>Calium opbouw wordt gemonitord, Chemivoron stelt een bepaald maximum aan de calcium opbouw</t>
  </si>
  <si>
    <t>Terugspoelen met water</t>
  </si>
  <si>
    <t>tijd (3 weken)</t>
  </si>
  <si>
    <t>2 minuten optoeren met 375 m3/h (15 m/h)
18 minuten spoelen 
5 minuten aftoeren</t>
  </si>
  <si>
    <t>2 min optoeren naar 550 m3/h
25 minuten 550 m3/h (35 m/h)
5 minuten aftoeren</t>
  </si>
  <si>
    <t>ongeveer 30 %</t>
  </si>
  <si>
    <t>Nee, temperatuur is constant (genoeg)</t>
  </si>
  <si>
    <t>Nee, wel afgetoerd bij droogte</t>
  </si>
  <si>
    <t>droogte, geen oppervlaktewater beschikbar</t>
  </si>
  <si>
    <t>meerdere dagen/weken</t>
  </si>
  <si>
    <t>zomer</t>
  </si>
  <si>
    <t>Nee, dit wordt momenteel opgelost door rein grondwater bij te mengen in de oppervlaktewaterzuivering. Dit is koud water (11C) en verzadigd aan zuurstof. Tijdens normaal bedrijf doseren we ook zuurstof in de zomer</t>
  </si>
  <si>
    <t xml:space="preserve">Maximaal 1 graad Celsius afname of toename per dag zodra bijmengen start en wordt afgebouwd. </t>
  </si>
  <si>
    <t>Als er een storing is, meestal zuurstofdosering (wordt alleen gedaan in de zomermaanden) of stilstand door storing bij de voedingspompen</t>
  </si>
  <si>
    <t>Circulatie leiding voor tijdens storing voedingspompen</t>
  </si>
  <si>
    <t>Onderzoek aantonen desporptie na (lokale) anaerobe omstandigheden</t>
  </si>
  <si>
    <t>ter lering</t>
  </si>
  <si>
    <t>Nee, bij uitbedrijf circulatie</t>
  </si>
  <si>
    <t>Overcapaciteit</t>
  </si>
  <si>
    <t>geen maximumtijd</t>
  </si>
  <si>
    <t>Hele jaar door, in de winter meer circulatietijd ivm lagere watervraag</t>
  </si>
  <si>
    <t xml:space="preserve">Circulatie </t>
  </si>
  <si>
    <t>0,5 - 3,0 mg/l (seizoenstrend)</t>
  </si>
  <si>
    <t>3,5 mg/l</t>
  </si>
  <si>
    <t>0,3</t>
  </si>
  <si>
    <t>maximaal 10%</t>
  </si>
  <si>
    <t>90 % bij nieuw (gereactiveerd kool), neemt daarna af</t>
  </si>
  <si>
    <t>Actieve kool nog niet verzadigd, dus nog onbekend</t>
  </si>
  <si>
    <t xml:space="preserve">WML </t>
  </si>
  <si>
    <t>OPB de Beitel</t>
  </si>
  <si>
    <t>Eisterweg 2, 6422 PN</t>
  </si>
  <si>
    <t>Heerlen</t>
  </si>
  <si>
    <t>60/10</t>
  </si>
  <si>
    <t>DCP &amp; DFC</t>
  </si>
  <si>
    <t>Laatste stap zuivering</t>
  </si>
  <si>
    <t>475/25</t>
  </si>
  <si>
    <t>Wettelijk verplicht</t>
  </si>
  <si>
    <t>700/280</t>
  </si>
  <si>
    <t>Voorheen Bentazon, nu voornamelijk DFC</t>
  </si>
  <si>
    <t>400/100</t>
  </si>
  <si>
    <t>DFC verwijdering</t>
  </si>
  <si>
    <t>Laatste stap van de zuivering: Realisatie door vervanging van het carry-over filter na ontharding.</t>
  </si>
  <si>
    <t>TL830</t>
  </si>
  <si>
    <t>12,7 m2</t>
  </si>
  <si>
    <t>Row 0,8</t>
  </si>
  <si>
    <t>40,3 m2</t>
  </si>
  <si>
    <t>12,56 m2</t>
  </si>
  <si>
    <t>35 m2</t>
  </si>
  <si>
    <t>3 jaar</t>
  </si>
  <si>
    <t>DCP&amp;DFC</t>
  </si>
  <si>
    <t>geen</t>
  </si>
  <si>
    <t>8 jaar, maar dit staat ter discussie</t>
  </si>
  <si>
    <t>DFC</t>
  </si>
  <si>
    <t>Nader vast te stellen. Doorslag DFC of verhoogde calciumconcentratie</t>
  </si>
  <si>
    <t>Verwachting 4 jaar</t>
  </si>
  <si>
    <t>na vullen en 2 keer per jaar</t>
  </si>
  <si>
    <t>handspoeling</t>
  </si>
  <si>
    <t>Na vullen en onegveer 4500 uut</t>
  </si>
  <si>
    <t>Handspoeling</t>
  </si>
  <si>
    <t>nieuwbouw</t>
  </si>
  <si>
    <t>Niet</t>
  </si>
  <si>
    <t>DFC verwijdering in carry over filter na ontharding</t>
  </si>
  <si>
    <t>pompstation wordt nieuw gebouwd start bouw eind 2024. er komen dan 8 nafilters met actiefkool</t>
  </si>
  <si>
    <t>Bestaat niet meer. vanaf medio 2023 vervangen door nieuwe zuivering ZS Nieuw-Lekkerland. Volstroom RO zonder AKF</t>
  </si>
  <si>
    <t>Vanaf medio 2024 vervangen door nieuwe zuvierings ZS Kamerik. Volstroom RO zonder AKF</t>
  </si>
  <si>
    <t>De Put (bestaat niet meer, zie opm.)</t>
  </si>
  <si>
    <t>De Hooge Boom (zie opm.)</t>
  </si>
  <si>
    <t>verwijdering van  medicijnresten, Organische microverontreinigingen en smaak en reuk verbeteren.</t>
  </si>
  <si>
    <t>Coagulatie en sedemintatie - Vooraad (AWD) - SF - Ozonisatie - Ontharding - BAKF - Langzame zand filter</t>
  </si>
  <si>
    <t xml:space="preserve">Tweetraps koolfiltratie , pseudo moving bed </t>
  </si>
  <si>
    <t>Norit ROW 0,8S, Chemviron F300 en Chemviron TL830</t>
  </si>
  <si>
    <t>Coagulatie en sedemintatie - Voorraad bekken - SF-Ozonisatie - Ontharding - BAKF - Langzame zand filter</t>
  </si>
  <si>
    <t xml:space="preserve">Eéntraps koolfiltiratie </t>
  </si>
  <si>
    <t>Norit  GAC 830, Chemviron F300,  Norit ROW 0.8, Jacobi AquaSorb K-6300 8x30</t>
  </si>
  <si>
    <t xml:space="preserve">Rechthoekig </t>
  </si>
  <si>
    <t>12,3*4,7*4</t>
  </si>
  <si>
    <t>12 filters: 4*12*3,95 en 14 filters: 4,41*7,71*5,5 
7,00</t>
  </si>
  <si>
    <t>40 minuten (2 maal 20 minuten)</t>
  </si>
  <si>
    <t>40 minuten</t>
  </si>
  <si>
    <t>Standtijd en PFAS-concentratie</t>
  </si>
  <si>
    <t>1,5 - 2</t>
  </si>
  <si>
    <t>PFAS (af pompstation), Bestrijdingsmiddelen</t>
  </si>
  <si>
    <t>1: Weerstand  2: Looptijd</t>
  </si>
  <si>
    <t>Blad 1</t>
  </si>
  <si>
    <t>Standtijd, UV254 en PFAS-concentratie</t>
  </si>
  <si>
    <t xml:space="preserve"> PFAS (af pompstation), UV254 verwijdering (percentage)</t>
  </si>
  <si>
    <t>Ja (online)</t>
  </si>
  <si>
    <t>Alternatieve koolsoorten</t>
  </si>
  <si>
    <t>PFAS-onderzoek (doorslag) op beperkt aantal koolfilters</t>
  </si>
  <si>
    <t>Vogelenzangseweg 21, 2114BA</t>
  </si>
  <si>
    <t>Vogelenzang</t>
  </si>
  <si>
    <t>Een-na-laatste stap voor UV desinfectie</t>
  </si>
  <si>
    <t>3,75 *2,4 *2,5</t>
  </si>
  <si>
    <t>Ja, obv TOC</t>
  </si>
  <si>
    <t>75 (op 1 pompput)</t>
  </si>
  <si>
    <t>0-30.000 (gem 15.000)</t>
  </si>
  <si>
    <t>0-20.000 (gem 10.000)</t>
  </si>
  <si>
    <t>Totaal volume</t>
  </si>
  <si>
    <t>Gemiddelde filtratiesnelheid</t>
  </si>
  <si>
    <t>n.v.t., PAC</t>
  </si>
  <si>
    <t>AKF in onderzoek</t>
  </si>
  <si>
    <t>geen AKF</t>
  </si>
  <si>
    <t>Geen PAC of AKF, wel AKF in onderzoek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</si>
</sst>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13" x14ac:knownFonts="1">
    <font>
      <sz val="11"/>
      <color theme="1"/>
      <name val="Calibri"/>
      <family val="2"/>
      <scheme val="minor"/>
    </font>
    <font>
      <sz val="14"/>
      <color theme="1"/>
      <name val="Calibri"/>
      <family val="2"/>
      <scheme val="minor"/>
    </font>
    <font>
      <b/>
      <sz val="22"/>
      <color theme="1"/>
      <name val="Calibri"/>
      <family val="2"/>
      <scheme val="minor"/>
    </font>
    <font>
      <sz val="16"/>
      <color theme="1"/>
      <name val="Calibri"/>
      <family val="2"/>
      <scheme val="minor"/>
    </font>
    <font>
      <sz val="14"/>
      <color rgb="FF000000"/>
      <name val="Times New Roman"/>
      <family val="1"/>
    </font>
    <font>
      <b/>
      <sz val="9"/>
      <color indexed="81"/>
      <name val="Tahoma"/>
      <family val="2"/>
    </font>
    <font>
      <sz val="9"/>
      <color indexed="81"/>
      <name val="Tahoma"/>
      <family val="2"/>
    </font>
    <font>
      <b/>
      <sz val="22"/>
      <name val="Calibri"/>
      <family val="2"/>
      <scheme val="minor"/>
    </font>
    <font>
      <sz val="14"/>
      <color rgb="FFFF0000"/>
      <name val="Calibri"/>
      <family val="2"/>
      <scheme val="minor"/>
    </font>
    <font>
      <sz val="14"/>
      <name val="Calibri"/>
      <family val="2"/>
      <scheme val="minor"/>
    </font>
    <font>
      <sz val="14"/>
      <name val="Calibri"/>
      <family val="2"/>
    </font>
    <font>
      <sz val="16"/>
      <name val="Calibri"/>
      <family val="2"/>
      <scheme val="minor"/>
    </font>
    <font>
      <sz val="1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4B084"/>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2">
    <xf numFmtId="0" fontId="0" fillId="0" borderId="0" xfId="0"/>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7" fillId="2" borderId="6"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7" fillId="2" borderId="8" xfId="0" applyFont="1" applyFill="1" applyBorder="1" applyAlignment="1">
      <alignment horizontal="center" vertical="center"/>
    </xf>
    <xf numFmtId="0" fontId="2" fillId="2" borderId="23"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xf>
    <xf numFmtId="0" fontId="1" fillId="4" borderId="14" xfId="0" applyFont="1" applyFill="1" applyBorder="1" applyAlignment="1">
      <alignment horizontal="left" vertical="center"/>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3" xfId="0" applyFont="1" applyFill="1" applyBorder="1" applyAlignment="1">
      <alignment horizontal="left" vertical="center"/>
    </xf>
    <xf numFmtId="0" fontId="1" fillId="3" borderId="5" xfId="0" applyFont="1" applyFill="1" applyBorder="1" applyAlignment="1">
      <alignment horizontal="left" vertical="center"/>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xf>
    <xf numFmtId="0" fontId="1" fillId="3" borderId="19" xfId="0" applyFont="1" applyFill="1" applyBorder="1" applyAlignment="1">
      <alignment horizontal="left" vertical="center"/>
    </xf>
    <xf numFmtId="0" fontId="1" fillId="3" borderId="19"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7" fillId="2" borderId="8"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4" borderId="11" xfId="0" applyFont="1" applyFill="1" applyBorder="1" applyAlignment="1" applyProtection="1">
      <alignment horizontal="left" vertical="center" wrapText="1"/>
      <protection locked="0"/>
    </xf>
    <xf numFmtId="164" fontId="1" fillId="4" borderId="11" xfId="0" applyNumberFormat="1" applyFont="1" applyFill="1" applyBorder="1" applyAlignment="1">
      <alignment horizontal="left" vertical="center" wrapText="1"/>
    </xf>
    <xf numFmtId="164" fontId="1" fillId="4" borderId="14" xfId="0" applyNumberFormat="1" applyFont="1" applyFill="1" applyBorder="1" applyAlignment="1">
      <alignment horizontal="left" vertical="center" wrapText="1"/>
    </xf>
    <xf numFmtId="0" fontId="8" fillId="4" borderId="4" xfId="0" applyFont="1" applyFill="1" applyBorder="1" applyAlignment="1">
      <alignment horizontal="left" vertical="center" wrapText="1"/>
    </xf>
    <xf numFmtId="3" fontId="1" fillId="4" borderId="3" xfId="0" applyNumberFormat="1" applyFont="1" applyFill="1" applyBorder="1" applyAlignment="1">
      <alignment horizontal="left" vertical="center" wrapText="1"/>
    </xf>
    <xf numFmtId="9" fontId="9" fillId="4" borderId="3" xfId="0" applyNumberFormat="1" applyFont="1" applyFill="1" applyBorder="1" applyAlignment="1">
      <alignment horizontal="left" vertical="center" wrapText="1"/>
    </xf>
    <xf numFmtId="0" fontId="9" fillId="4" borderId="3" xfId="0" applyFont="1" applyFill="1" applyBorder="1" applyAlignment="1">
      <alignment horizontal="left" vertical="center" wrapText="1"/>
    </xf>
    <xf numFmtId="165" fontId="1" fillId="4" borderId="3" xfId="0" applyNumberFormat="1"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2" xfId="0" applyFont="1" applyFill="1" applyBorder="1" applyAlignment="1">
      <alignment horizontal="left" vertical="center" wrapText="1"/>
    </xf>
    <xf numFmtId="3" fontId="1" fillId="3" borderId="3" xfId="0" applyNumberFormat="1" applyFont="1" applyFill="1" applyBorder="1" applyAlignment="1">
      <alignment horizontal="left" vertical="center" wrapText="1"/>
    </xf>
    <xf numFmtId="0" fontId="1" fillId="3" borderId="3" xfId="0" quotePrefix="1" applyFont="1" applyFill="1" applyBorder="1" applyAlignment="1">
      <alignment horizontal="left" vertical="center" wrapText="1"/>
    </xf>
    <xf numFmtId="0" fontId="0" fillId="3" borderId="3" xfId="0" applyFill="1" applyBorder="1" applyAlignment="1">
      <alignment horizontal="left" vertical="center" wrapText="1"/>
    </xf>
    <xf numFmtId="0" fontId="1" fillId="3" borderId="4" xfId="0" quotePrefix="1"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5" borderId="3" xfId="0" applyFont="1" applyFill="1" applyBorder="1" applyAlignment="1">
      <alignment horizontal="left" vertical="center" wrapText="1"/>
    </xf>
    <xf numFmtId="0" fontId="7" fillId="2" borderId="23" xfId="0" applyFont="1" applyFill="1" applyBorder="1" applyAlignment="1">
      <alignment horizontal="left" vertical="center"/>
    </xf>
    <xf numFmtId="4" fontId="1" fillId="4" borderId="26" xfId="0" applyNumberFormat="1" applyFont="1" applyFill="1" applyBorder="1" applyAlignment="1">
      <alignment horizontal="left" vertical="center" wrapText="1"/>
    </xf>
    <xf numFmtId="0" fontId="1" fillId="4" borderId="24" xfId="0" applyFont="1" applyFill="1" applyBorder="1" applyAlignment="1">
      <alignment horizontal="left" vertical="center"/>
    </xf>
    <xf numFmtId="0" fontId="0" fillId="3" borderId="19" xfId="0" applyFill="1" applyBorder="1"/>
    <xf numFmtId="0" fontId="0" fillId="3" borderId="16" xfId="0" applyFill="1" applyBorder="1"/>
    <xf numFmtId="0" fontId="0" fillId="3" borderId="17" xfId="0" applyFill="1" applyBorder="1"/>
    <xf numFmtId="0" fontId="0" fillId="3" borderId="25" xfId="0" applyFill="1" applyBorder="1"/>
    <xf numFmtId="0" fontId="9" fillId="4" borderId="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5" xfId="0" applyFont="1" applyFill="1" applyBorder="1" applyAlignment="1">
      <alignment horizontal="left" vertical="center"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4" fillId="3" borderId="16" xfId="0" applyFont="1" applyFill="1" applyBorder="1" applyAlignment="1">
      <alignment horizontal="left" vertical="center"/>
    </xf>
    <xf numFmtId="0" fontId="4" fillId="3" borderId="19" xfId="0" applyFont="1" applyFill="1" applyBorder="1" applyAlignment="1">
      <alignment horizontal="left" vertical="center"/>
    </xf>
    <xf numFmtId="0" fontId="9" fillId="3" borderId="9" xfId="0" quotePrefix="1" applyFont="1" applyFill="1" applyBorder="1" applyAlignment="1">
      <alignment horizontal="left" vertical="center" wrapText="1"/>
    </xf>
    <xf numFmtId="0" fontId="9" fillId="3" borderId="3" xfId="0" applyFont="1" applyFill="1" applyBorder="1" applyAlignment="1">
      <alignment horizontal="left" vertical="center"/>
    </xf>
    <xf numFmtId="0" fontId="11" fillId="2" borderId="10"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9" fillId="4" borderId="32" xfId="0" applyFont="1" applyFill="1" applyBorder="1" applyAlignment="1">
      <alignment horizontal="left" vertical="center" wrapText="1"/>
    </xf>
    <xf numFmtId="165" fontId="9" fillId="3" borderId="32" xfId="0" applyNumberFormat="1" applyFont="1" applyFill="1" applyBorder="1" applyAlignment="1">
      <alignment horizontal="left" vertical="center" wrapText="1"/>
    </xf>
    <xf numFmtId="0" fontId="9" fillId="3" borderId="19" xfId="0" applyFont="1" applyFill="1" applyBorder="1" applyAlignment="1">
      <alignment horizontal="left" vertical="center" wrapText="1"/>
    </xf>
    <xf numFmtId="0" fontId="12" fillId="0" borderId="0" xfId="0" applyFont="1"/>
    <xf numFmtId="165" fontId="9" fillId="4" borderId="31" xfId="0" applyNumberFormat="1" applyFont="1" applyFill="1" applyBorder="1" applyAlignment="1">
      <alignment horizontal="left" vertical="center" wrapText="1"/>
    </xf>
    <xf numFmtId="165" fontId="9" fillId="4" borderId="32" xfId="0" applyNumberFormat="1" applyFont="1" applyFill="1" applyBorder="1" applyAlignment="1">
      <alignment horizontal="left" vertical="center" wrapText="1"/>
    </xf>
    <xf numFmtId="165" fontId="9" fillId="4" borderId="5" xfId="0" applyNumberFormat="1" applyFont="1" applyFill="1" applyBorder="1" applyAlignment="1">
      <alignment horizontal="left" vertical="center" wrapText="1"/>
    </xf>
    <xf numFmtId="165" fontId="9" fillId="3" borderId="30" xfId="0" applyNumberFormat="1" applyFont="1" applyFill="1" applyBorder="1" applyAlignment="1">
      <alignment horizontal="left" vertical="center" wrapText="1"/>
    </xf>
    <xf numFmtId="0" fontId="11" fillId="2" borderId="17"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12" fillId="3" borderId="17" xfId="0" applyFont="1" applyFill="1" applyBorder="1"/>
    <xf numFmtId="0" fontId="7" fillId="2" borderId="6"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7" fillId="2" borderId="7" xfId="0" applyFont="1" applyFill="1" applyBorder="1" applyAlignment="1">
      <alignment horizontal="left" vertical="center"/>
    </xf>
    <xf numFmtId="0" fontId="0" fillId="2" borderId="8"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302F-1297-46FB-A5FD-815F492E9A57}">
  <dimension ref="A1:BF40"/>
  <sheetViews>
    <sheetView tabSelected="1" zoomScale="55" zoomScaleNormal="55" workbookViewId="0">
      <pane xSplit="2" ySplit="3" topLeftCell="W4" activePane="bottomRight" state="frozen"/>
      <selection pane="topRight" activeCell="C1" sqref="C1"/>
      <selection pane="bottomLeft" activeCell="A4" sqref="A4"/>
      <selection pane="bottomRight" activeCell="AE11" sqref="AE11"/>
    </sheetView>
  </sheetViews>
  <sheetFormatPr defaultRowHeight="15" x14ac:dyDescent="0.25"/>
  <cols>
    <col min="1" max="1" width="27.28515625" customWidth="1"/>
    <col min="2" max="2" width="59.85546875" bestFit="1" customWidth="1"/>
    <col min="3" max="3" width="31.140625" bestFit="1" customWidth="1"/>
    <col min="4" max="4" width="22.85546875" bestFit="1" customWidth="1"/>
    <col min="5" max="6" width="20.7109375" customWidth="1"/>
    <col min="7" max="8" width="14.85546875" customWidth="1"/>
    <col min="9" max="9" width="26.140625" customWidth="1"/>
    <col min="10" max="12" width="20.7109375" customWidth="1"/>
    <col min="13" max="13" width="20.140625" customWidth="1"/>
    <col min="14" max="17" width="20.7109375" customWidth="1"/>
    <col min="18" max="18" width="21.7109375" customWidth="1"/>
    <col min="19" max="21" width="20.7109375" customWidth="1"/>
    <col min="22" max="22" width="20.7109375" style="103" customWidth="1"/>
    <col min="23" max="24" width="20.7109375" customWidth="1"/>
    <col min="25" max="25" width="20.7109375" style="103" customWidth="1"/>
    <col min="26" max="42" width="20.7109375" customWidth="1"/>
    <col min="43" max="43" width="23.5703125" customWidth="1"/>
    <col min="44" max="55" width="20.7109375" customWidth="1"/>
    <col min="56" max="56" width="20.7109375" style="103" customWidth="1"/>
    <col min="57" max="57" width="20.7109375" customWidth="1"/>
    <col min="58" max="58" width="108.140625" customWidth="1"/>
  </cols>
  <sheetData>
    <row r="1" spans="1:58" ht="29.25" thickBot="1" x14ac:dyDescent="0.3">
      <c r="A1" s="117" t="s">
        <v>174</v>
      </c>
      <c r="B1" s="118"/>
      <c r="C1" s="118"/>
      <c r="D1" s="119"/>
      <c r="E1" s="117" t="s">
        <v>2</v>
      </c>
      <c r="F1" s="119"/>
      <c r="G1" s="114" t="s">
        <v>151</v>
      </c>
      <c r="H1" s="120"/>
      <c r="I1" s="46"/>
      <c r="J1" s="76" t="s">
        <v>152</v>
      </c>
      <c r="K1" s="114" t="s">
        <v>99</v>
      </c>
      <c r="L1" s="120"/>
      <c r="M1" s="121"/>
      <c r="N1" s="114" t="s">
        <v>153</v>
      </c>
      <c r="O1" s="121"/>
      <c r="P1" s="8" t="s">
        <v>105</v>
      </c>
      <c r="Q1" s="12"/>
      <c r="R1" s="114" t="s">
        <v>162</v>
      </c>
      <c r="S1" s="115"/>
      <c r="T1" s="115"/>
      <c r="U1" s="115"/>
      <c r="V1" s="116"/>
      <c r="W1" s="114" t="s">
        <v>154</v>
      </c>
      <c r="X1" s="120"/>
      <c r="Y1" s="116"/>
      <c r="Z1" s="114" t="s">
        <v>155</v>
      </c>
      <c r="AA1" s="115"/>
      <c r="AB1" s="115"/>
      <c r="AC1" s="115"/>
      <c r="AD1" s="116"/>
      <c r="AE1" s="114" t="s">
        <v>156</v>
      </c>
      <c r="AF1" s="115"/>
      <c r="AG1" s="115"/>
      <c r="AH1" s="115"/>
      <c r="AI1" s="116"/>
      <c r="AJ1" s="114" t="s">
        <v>157</v>
      </c>
      <c r="AK1" s="115"/>
      <c r="AL1" s="115"/>
      <c r="AM1" s="115"/>
      <c r="AN1" s="115"/>
      <c r="AO1" s="116"/>
      <c r="AP1" s="114" t="s">
        <v>158</v>
      </c>
      <c r="AQ1" s="116"/>
      <c r="AR1" s="114" t="s">
        <v>159</v>
      </c>
      <c r="AS1" s="116"/>
      <c r="AT1" s="114" t="s">
        <v>160</v>
      </c>
      <c r="AU1" s="115"/>
      <c r="AV1" s="115"/>
      <c r="AW1" s="115"/>
      <c r="AX1" s="115"/>
      <c r="AY1" s="115"/>
      <c r="AZ1" s="115"/>
      <c r="BA1" s="115"/>
      <c r="BB1" s="115"/>
      <c r="BC1" s="115"/>
      <c r="BD1" s="115"/>
      <c r="BE1" s="116"/>
      <c r="BF1" s="13" t="s">
        <v>3</v>
      </c>
    </row>
    <row r="2" spans="1:58" ht="126" x14ac:dyDescent="0.25">
      <c r="A2" s="1" t="s">
        <v>164</v>
      </c>
      <c r="B2" s="2" t="s">
        <v>165</v>
      </c>
      <c r="C2" s="2" t="s">
        <v>4</v>
      </c>
      <c r="D2" s="3" t="s">
        <v>5</v>
      </c>
      <c r="E2" s="1" t="s">
        <v>6</v>
      </c>
      <c r="F2" s="3" t="s">
        <v>7</v>
      </c>
      <c r="G2" s="1" t="s">
        <v>8</v>
      </c>
      <c r="H2" s="47" t="s">
        <v>110</v>
      </c>
      <c r="I2" s="3" t="s">
        <v>9</v>
      </c>
      <c r="J2" s="14" t="s">
        <v>150</v>
      </c>
      <c r="K2" s="9" t="s">
        <v>99</v>
      </c>
      <c r="L2" s="10" t="s">
        <v>101</v>
      </c>
      <c r="M2" s="11" t="s">
        <v>161</v>
      </c>
      <c r="N2" s="1" t="s">
        <v>102</v>
      </c>
      <c r="O2" s="3" t="s">
        <v>104</v>
      </c>
      <c r="P2" s="1" t="s">
        <v>105</v>
      </c>
      <c r="Q2" s="3" t="s">
        <v>106</v>
      </c>
      <c r="R2" s="1" t="s">
        <v>163</v>
      </c>
      <c r="S2" s="2" t="s">
        <v>108</v>
      </c>
      <c r="T2" s="2" t="s">
        <v>107</v>
      </c>
      <c r="U2" s="2" t="s">
        <v>113</v>
      </c>
      <c r="V2" s="96" t="s">
        <v>543</v>
      </c>
      <c r="W2" s="1" t="s">
        <v>115</v>
      </c>
      <c r="X2" s="2" t="s">
        <v>118</v>
      </c>
      <c r="Y2" s="96" t="s">
        <v>544</v>
      </c>
      <c r="Z2" s="1" t="s">
        <v>123</v>
      </c>
      <c r="AA2" s="2" t="s">
        <v>119</v>
      </c>
      <c r="AB2" s="2" t="s">
        <v>121</v>
      </c>
      <c r="AC2" s="2" t="s">
        <v>124</v>
      </c>
      <c r="AD2" s="3" t="s">
        <v>125</v>
      </c>
      <c r="AE2" s="1" t="s">
        <v>126</v>
      </c>
      <c r="AF2" s="2" t="s">
        <v>128</v>
      </c>
      <c r="AG2" s="2" t="s">
        <v>127</v>
      </c>
      <c r="AH2" s="2" t="s">
        <v>129</v>
      </c>
      <c r="AI2" s="3" t="s">
        <v>131</v>
      </c>
      <c r="AJ2" s="1" t="s">
        <v>132</v>
      </c>
      <c r="AK2" s="2" t="s">
        <v>133</v>
      </c>
      <c r="AL2" s="2" t="s">
        <v>134</v>
      </c>
      <c r="AM2" s="2" t="s">
        <v>136</v>
      </c>
      <c r="AN2" s="2" t="s">
        <v>137</v>
      </c>
      <c r="AO2" s="3" t="s">
        <v>138</v>
      </c>
      <c r="AP2" s="1" t="s">
        <v>139</v>
      </c>
      <c r="AQ2" s="3" t="s">
        <v>140</v>
      </c>
      <c r="AR2" s="1" t="s">
        <v>141</v>
      </c>
      <c r="AS2" s="3" t="s">
        <v>142</v>
      </c>
      <c r="AT2" s="1" t="s">
        <v>143</v>
      </c>
      <c r="AU2" s="2" t="s">
        <v>145</v>
      </c>
      <c r="AV2" s="94" t="s">
        <v>283</v>
      </c>
      <c r="AW2" s="2" t="s">
        <v>146</v>
      </c>
      <c r="AX2" s="2" t="s">
        <v>147</v>
      </c>
      <c r="AY2" s="2" t="s">
        <v>148</v>
      </c>
      <c r="AZ2" s="2" t="s">
        <v>175</v>
      </c>
      <c r="BA2" s="2" t="s">
        <v>176</v>
      </c>
      <c r="BB2" s="2" t="s">
        <v>177</v>
      </c>
      <c r="BC2" s="2" t="s">
        <v>178</v>
      </c>
      <c r="BD2" s="94" t="s">
        <v>289</v>
      </c>
      <c r="BE2" s="49" t="s">
        <v>179</v>
      </c>
      <c r="BF2" s="14"/>
    </row>
    <row r="3" spans="1:58" ht="21.75" thickBot="1" x14ac:dyDescent="0.3">
      <c r="A3" s="4"/>
      <c r="B3" s="5"/>
      <c r="C3" s="5"/>
      <c r="D3" s="6"/>
      <c r="E3" s="4"/>
      <c r="F3" s="6"/>
      <c r="G3" s="4" t="s">
        <v>111</v>
      </c>
      <c r="H3" s="48" t="s">
        <v>111</v>
      </c>
      <c r="I3" s="6" t="s">
        <v>100</v>
      </c>
      <c r="J3" s="15" t="s">
        <v>112</v>
      </c>
      <c r="K3" s="4" t="s">
        <v>100</v>
      </c>
      <c r="L3" s="7" t="s">
        <v>100</v>
      </c>
      <c r="M3" s="6" t="s">
        <v>117</v>
      </c>
      <c r="N3" s="4" t="s">
        <v>103</v>
      </c>
      <c r="O3" s="6" t="s">
        <v>100</v>
      </c>
      <c r="P3" s="4" t="s">
        <v>100</v>
      </c>
      <c r="Q3" s="6" t="s">
        <v>100</v>
      </c>
      <c r="R3" s="4" t="s">
        <v>100</v>
      </c>
      <c r="S3" s="5" t="s">
        <v>100</v>
      </c>
      <c r="T3" s="5" t="s">
        <v>109</v>
      </c>
      <c r="U3" s="5" t="s">
        <v>114</v>
      </c>
      <c r="V3" s="97" t="s">
        <v>114</v>
      </c>
      <c r="W3" s="4" t="s">
        <v>116</v>
      </c>
      <c r="X3" s="5" t="s">
        <v>117</v>
      </c>
      <c r="Y3" s="97" t="s">
        <v>251</v>
      </c>
      <c r="Z3" s="4" t="s">
        <v>100</v>
      </c>
      <c r="AA3" s="5" t="s">
        <v>120</v>
      </c>
      <c r="AB3" s="5" t="s">
        <v>122</v>
      </c>
      <c r="AC3" s="5" t="s">
        <v>100</v>
      </c>
      <c r="AD3" s="6" t="s">
        <v>100</v>
      </c>
      <c r="AE3" s="4" t="s">
        <v>100</v>
      </c>
      <c r="AF3" s="5" t="s">
        <v>100</v>
      </c>
      <c r="AG3" s="5" t="s">
        <v>100</v>
      </c>
      <c r="AH3" s="5" t="s">
        <v>130</v>
      </c>
      <c r="AI3" s="6" t="s">
        <v>117</v>
      </c>
      <c r="AJ3" s="4" t="s">
        <v>117</v>
      </c>
      <c r="AK3" s="5" t="s">
        <v>100</v>
      </c>
      <c r="AL3" s="5" t="s">
        <v>135</v>
      </c>
      <c r="AM3" s="5" t="s">
        <v>100</v>
      </c>
      <c r="AN3" s="5" t="s">
        <v>117</v>
      </c>
      <c r="AO3" s="6" t="s">
        <v>100</v>
      </c>
      <c r="AP3" s="4" t="s">
        <v>100</v>
      </c>
      <c r="AQ3" s="6" t="s">
        <v>100</v>
      </c>
      <c r="AR3" s="4" t="s">
        <v>117</v>
      </c>
      <c r="AS3" s="6" t="s">
        <v>100</v>
      </c>
      <c r="AT3" s="4" t="s">
        <v>144</v>
      </c>
      <c r="AU3" s="5" t="s">
        <v>103</v>
      </c>
      <c r="AV3" s="5" t="s">
        <v>130</v>
      </c>
      <c r="AW3" s="5" t="s">
        <v>130</v>
      </c>
      <c r="AX3" s="5" t="s">
        <v>130</v>
      </c>
      <c r="AY3" s="5" t="s">
        <v>117</v>
      </c>
      <c r="AZ3" s="5" t="s">
        <v>149</v>
      </c>
      <c r="BA3" s="5" t="s">
        <v>149</v>
      </c>
      <c r="BB3" s="5" t="s">
        <v>149</v>
      </c>
      <c r="BC3" s="5" t="s">
        <v>144</v>
      </c>
      <c r="BD3" s="108" t="s">
        <v>144</v>
      </c>
      <c r="BE3" s="50" t="s">
        <v>149</v>
      </c>
      <c r="BF3" s="15"/>
    </row>
    <row r="4" spans="1:58" ht="69" customHeight="1" x14ac:dyDescent="0.25">
      <c r="A4" s="16" t="s">
        <v>10</v>
      </c>
      <c r="B4" s="17" t="s">
        <v>11</v>
      </c>
      <c r="C4" s="17" t="s">
        <v>12</v>
      </c>
      <c r="D4" s="18" t="s">
        <v>13</v>
      </c>
      <c r="E4" s="54">
        <v>51.48398864</v>
      </c>
      <c r="F4" s="55">
        <v>5.6878495200000003</v>
      </c>
      <c r="G4" s="16" t="s">
        <v>540</v>
      </c>
      <c r="H4" s="20">
        <v>75</v>
      </c>
      <c r="I4" s="19" t="s">
        <v>221</v>
      </c>
      <c r="J4" s="77"/>
      <c r="K4" s="53" t="s">
        <v>180</v>
      </c>
      <c r="L4" s="21" t="s">
        <v>181</v>
      </c>
      <c r="M4" s="19" t="s">
        <v>182</v>
      </c>
      <c r="N4" s="16">
        <v>1</v>
      </c>
      <c r="O4" s="19" t="s">
        <v>192</v>
      </c>
      <c r="P4" s="16" t="s">
        <v>183</v>
      </c>
      <c r="Q4" s="19" t="s">
        <v>184</v>
      </c>
      <c r="R4" s="16" t="s">
        <v>185</v>
      </c>
      <c r="S4" s="22" t="s">
        <v>186</v>
      </c>
      <c r="T4" s="22" t="s">
        <v>187</v>
      </c>
      <c r="U4" s="22">
        <v>25</v>
      </c>
      <c r="V4" s="98">
        <f>N4*U4</f>
        <v>25</v>
      </c>
      <c r="W4" s="16">
        <v>20</v>
      </c>
      <c r="X4" s="22" t="s">
        <v>182</v>
      </c>
      <c r="Y4" s="104">
        <f>(U4/4)/(W4/60)</f>
        <v>18.75</v>
      </c>
      <c r="Z4" s="16" t="s">
        <v>188</v>
      </c>
      <c r="AA4" s="22" t="s">
        <v>189</v>
      </c>
      <c r="AB4" s="22">
        <v>32000</v>
      </c>
      <c r="AC4" s="22" t="s">
        <v>190</v>
      </c>
      <c r="AD4" s="19" t="s">
        <v>183</v>
      </c>
      <c r="AE4" s="16" t="s">
        <v>191</v>
      </c>
      <c r="AF4" s="22" t="s">
        <v>192</v>
      </c>
      <c r="AG4" s="22" t="s">
        <v>193</v>
      </c>
      <c r="AH4" s="22"/>
      <c r="AI4" s="19" t="s">
        <v>194</v>
      </c>
      <c r="AJ4" s="16" t="s">
        <v>196</v>
      </c>
      <c r="AK4" s="22" t="s">
        <v>197</v>
      </c>
      <c r="AL4" s="22" t="s">
        <v>197</v>
      </c>
      <c r="AM4" s="22" t="s">
        <v>197</v>
      </c>
      <c r="AN4" s="22" t="s">
        <v>198</v>
      </c>
      <c r="AO4" s="19" t="s">
        <v>197</v>
      </c>
      <c r="AP4" s="16"/>
      <c r="AQ4" s="19"/>
      <c r="AR4" s="16"/>
      <c r="AS4" s="19"/>
      <c r="AT4" s="65"/>
      <c r="AU4" s="66"/>
      <c r="AV4" s="66"/>
      <c r="AW4" s="66"/>
      <c r="AX4" s="66"/>
      <c r="AY4" s="66"/>
      <c r="AZ4" s="66"/>
      <c r="BA4" s="66"/>
      <c r="BB4" s="66"/>
      <c r="BC4" s="66"/>
      <c r="BD4" s="109"/>
      <c r="BE4" s="67"/>
      <c r="BF4" s="23"/>
    </row>
    <row r="5" spans="1:58" ht="69" customHeight="1" x14ac:dyDescent="0.25">
      <c r="A5" s="16" t="s">
        <v>10</v>
      </c>
      <c r="B5" s="17" t="s">
        <v>199</v>
      </c>
      <c r="C5" s="17" t="s">
        <v>200</v>
      </c>
      <c r="D5" s="18" t="s">
        <v>213</v>
      </c>
      <c r="E5" s="54">
        <v>51.722236469999999</v>
      </c>
      <c r="F5" s="55">
        <v>5.4159271699999998</v>
      </c>
      <c r="G5" s="16">
        <v>165</v>
      </c>
      <c r="H5" s="20">
        <v>200</v>
      </c>
      <c r="I5" s="19" t="s">
        <v>222</v>
      </c>
      <c r="J5" s="23"/>
      <c r="K5" s="53" t="s">
        <v>201</v>
      </c>
      <c r="L5" s="21" t="s">
        <v>202</v>
      </c>
      <c r="M5" s="19" t="s">
        <v>195</v>
      </c>
      <c r="N5" s="16">
        <v>4</v>
      </c>
      <c r="O5" s="19" t="s">
        <v>203</v>
      </c>
      <c r="P5" s="16" t="s">
        <v>183</v>
      </c>
      <c r="Q5" s="19" t="s">
        <v>204</v>
      </c>
      <c r="R5" s="16" t="s">
        <v>205</v>
      </c>
      <c r="S5" s="22" t="s">
        <v>206</v>
      </c>
      <c r="T5" s="22" t="s">
        <v>207</v>
      </c>
      <c r="U5" s="22">
        <v>75</v>
      </c>
      <c r="V5" s="98">
        <f t="shared" ref="V5:V6" si="0">N5*U5</f>
        <v>300</v>
      </c>
      <c r="W5" s="16">
        <v>18</v>
      </c>
      <c r="X5" s="22" t="s">
        <v>182</v>
      </c>
      <c r="Y5" s="104">
        <f>(U5/33)/(W5/60)</f>
        <v>7.575757575757577</v>
      </c>
      <c r="Z5" s="16" t="s">
        <v>214</v>
      </c>
      <c r="AA5" s="22" t="s">
        <v>208</v>
      </c>
      <c r="AB5" s="22">
        <v>30000</v>
      </c>
      <c r="AC5" s="22" t="s">
        <v>215</v>
      </c>
      <c r="AD5" s="19" t="s">
        <v>209</v>
      </c>
      <c r="AE5" s="16" t="s">
        <v>191</v>
      </c>
      <c r="AF5" s="22" t="s">
        <v>216</v>
      </c>
      <c r="AG5" s="22" t="s">
        <v>217</v>
      </c>
      <c r="AH5" s="22"/>
      <c r="AI5" s="19" t="s">
        <v>194</v>
      </c>
      <c r="AJ5" s="16" t="s">
        <v>195</v>
      </c>
      <c r="AK5" s="22" t="s">
        <v>210</v>
      </c>
      <c r="AL5" s="22" t="s">
        <v>211</v>
      </c>
      <c r="AM5" s="22" t="s">
        <v>212</v>
      </c>
      <c r="AN5" s="22"/>
      <c r="AO5" s="19"/>
      <c r="AP5" s="16"/>
      <c r="AQ5" s="19"/>
      <c r="AR5" s="16"/>
      <c r="AS5" s="19"/>
      <c r="AT5" s="24"/>
      <c r="AU5" s="25"/>
      <c r="AV5" s="25"/>
      <c r="AW5" s="25"/>
      <c r="AX5" s="25"/>
      <c r="AY5" s="25"/>
      <c r="AZ5" s="25"/>
      <c r="BA5" s="25"/>
      <c r="BB5" s="25"/>
      <c r="BC5" s="25"/>
      <c r="BD5" s="59"/>
      <c r="BE5" s="26"/>
      <c r="BF5" s="23"/>
    </row>
    <row r="6" spans="1:58" ht="69" customHeight="1" x14ac:dyDescent="0.25">
      <c r="A6" s="16" t="s">
        <v>10</v>
      </c>
      <c r="B6" s="17" t="s">
        <v>218</v>
      </c>
      <c r="C6" s="17" t="s">
        <v>219</v>
      </c>
      <c r="D6" s="18" t="s">
        <v>220</v>
      </c>
      <c r="E6" s="54">
        <v>51.434163089999998</v>
      </c>
      <c r="F6" s="55">
        <v>5.3129786299999999</v>
      </c>
      <c r="G6" s="16">
        <v>375</v>
      </c>
      <c r="H6" s="20">
        <v>375</v>
      </c>
      <c r="I6" s="19" t="s">
        <v>221</v>
      </c>
      <c r="J6" s="23"/>
      <c r="K6" s="53" t="s">
        <v>223</v>
      </c>
      <c r="L6" s="21" t="s">
        <v>181</v>
      </c>
      <c r="M6" s="19" t="s">
        <v>196</v>
      </c>
      <c r="N6" s="16">
        <v>4</v>
      </c>
      <c r="O6" s="19" t="s">
        <v>224</v>
      </c>
      <c r="P6" s="16" t="s">
        <v>183</v>
      </c>
      <c r="Q6" s="19" t="s">
        <v>184</v>
      </c>
      <c r="R6" s="16" t="s">
        <v>225</v>
      </c>
      <c r="S6" s="22" t="s">
        <v>186</v>
      </c>
      <c r="T6" s="22" t="s">
        <v>226</v>
      </c>
      <c r="U6" s="22">
        <v>31.4</v>
      </c>
      <c r="V6" s="98">
        <f t="shared" si="0"/>
        <v>125.6</v>
      </c>
      <c r="W6" s="16">
        <v>20</v>
      </c>
      <c r="X6" s="22" t="s">
        <v>182</v>
      </c>
      <c r="Y6" s="104">
        <f>(U6/12.6)/(W6/60)</f>
        <v>7.4761904761904763</v>
      </c>
      <c r="Z6" s="16" t="s">
        <v>227</v>
      </c>
      <c r="AA6" s="22" t="s">
        <v>228</v>
      </c>
      <c r="AB6" s="22"/>
      <c r="AC6" s="22"/>
      <c r="AD6" s="19"/>
      <c r="AE6" s="16"/>
      <c r="AF6" s="22"/>
      <c r="AG6" s="22"/>
      <c r="AH6" s="22"/>
      <c r="AI6" s="19"/>
      <c r="AJ6" s="16"/>
      <c r="AK6" s="22"/>
      <c r="AL6" s="22"/>
      <c r="AM6" s="22"/>
      <c r="AN6" s="22"/>
      <c r="AO6" s="19"/>
      <c r="AP6" s="16"/>
      <c r="AQ6" s="19"/>
      <c r="AR6" s="16"/>
      <c r="AS6" s="19"/>
      <c r="AT6" s="24"/>
      <c r="AU6" s="25"/>
      <c r="AV6" s="25"/>
      <c r="AW6" s="25"/>
      <c r="AX6" s="25"/>
      <c r="AY6" s="25"/>
      <c r="AZ6" s="25"/>
      <c r="BA6" s="25"/>
      <c r="BB6" s="25"/>
      <c r="BC6" s="25"/>
      <c r="BD6" s="59"/>
      <c r="BE6" s="26"/>
      <c r="BF6" s="23"/>
    </row>
    <row r="7" spans="1:58" ht="69" customHeight="1" x14ac:dyDescent="0.25">
      <c r="A7" s="31" t="s">
        <v>14</v>
      </c>
      <c r="B7" s="32" t="s">
        <v>15</v>
      </c>
      <c r="C7" s="32" t="s">
        <v>16</v>
      </c>
      <c r="D7" s="33" t="s">
        <v>17</v>
      </c>
      <c r="E7" s="86">
        <v>51.929380000000002</v>
      </c>
      <c r="F7" s="87">
        <v>4.7721600000000004</v>
      </c>
      <c r="G7" s="31">
        <v>2200</v>
      </c>
      <c r="H7" s="34"/>
      <c r="I7" s="33" t="s">
        <v>0</v>
      </c>
      <c r="J7" s="37"/>
      <c r="K7" s="31" t="s">
        <v>548</v>
      </c>
      <c r="L7" s="35"/>
      <c r="M7" s="33"/>
      <c r="N7" s="31"/>
      <c r="O7" s="33"/>
      <c r="P7" s="31"/>
      <c r="Q7" s="33"/>
      <c r="R7" s="31"/>
      <c r="S7" s="32"/>
      <c r="T7" s="32"/>
      <c r="U7" s="34"/>
      <c r="V7" s="62"/>
      <c r="W7" s="31"/>
      <c r="X7" s="32"/>
      <c r="Y7" s="95"/>
      <c r="Z7" s="31"/>
      <c r="AA7" s="32"/>
      <c r="AB7" s="32"/>
      <c r="AC7" s="32"/>
      <c r="AD7" s="33"/>
      <c r="AE7" s="31"/>
      <c r="AF7" s="32"/>
      <c r="AG7" s="32"/>
      <c r="AH7" s="32"/>
      <c r="AI7" s="33"/>
      <c r="AJ7" s="31"/>
      <c r="AK7" s="32"/>
      <c r="AL7" s="32"/>
      <c r="AM7" s="32"/>
      <c r="AN7" s="32"/>
      <c r="AO7" s="33"/>
      <c r="AP7" s="31"/>
      <c r="AQ7" s="33"/>
      <c r="AR7" s="31" t="s">
        <v>194</v>
      </c>
      <c r="AS7" s="33" t="s">
        <v>317</v>
      </c>
      <c r="AT7" s="31"/>
      <c r="AU7" s="32"/>
      <c r="AV7" s="32"/>
      <c r="AW7" s="32"/>
      <c r="AX7" s="32"/>
      <c r="AY7" s="32"/>
      <c r="AZ7" s="32"/>
      <c r="BA7" s="32"/>
      <c r="BB7" s="32"/>
      <c r="BC7" s="32"/>
      <c r="BD7" s="63"/>
      <c r="BE7" s="33"/>
      <c r="BF7" s="37" t="s">
        <v>546</v>
      </c>
    </row>
    <row r="8" spans="1:58" ht="60" customHeight="1" x14ac:dyDescent="0.25">
      <c r="A8" s="31" t="s">
        <v>14</v>
      </c>
      <c r="B8" s="32" t="s">
        <v>18</v>
      </c>
      <c r="C8" s="32" t="s">
        <v>169</v>
      </c>
      <c r="D8" s="33" t="s">
        <v>19</v>
      </c>
      <c r="E8" s="86">
        <v>52.117489999999997</v>
      </c>
      <c r="F8" s="87">
        <v>4.3067500000000001</v>
      </c>
      <c r="G8" s="31">
        <v>5100</v>
      </c>
      <c r="H8" s="34"/>
      <c r="I8" s="33" t="s">
        <v>172</v>
      </c>
      <c r="J8" s="37"/>
      <c r="K8" s="31" t="s">
        <v>545</v>
      </c>
      <c r="L8" s="35"/>
      <c r="M8" s="33"/>
      <c r="N8" s="31"/>
      <c r="O8" s="33"/>
      <c r="P8" s="31"/>
      <c r="Q8" s="33"/>
      <c r="R8" s="31"/>
      <c r="S8" s="32"/>
      <c r="T8" s="32"/>
      <c r="U8" s="34"/>
      <c r="V8" s="62"/>
      <c r="W8" s="31"/>
      <c r="X8" s="32"/>
      <c r="Y8" s="95"/>
      <c r="Z8" s="31"/>
      <c r="AA8" s="32"/>
      <c r="AB8" s="32"/>
      <c r="AC8" s="32"/>
      <c r="AD8" s="33"/>
      <c r="AE8" s="31"/>
      <c r="AF8" s="32"/>
      <c r="AG8" s="32"/>
      <c r="AH8" s="32"/>
      <c r="AI8" s="33"/>
      <c r="AJ8" s="31"/>
      <c r="AK8" s="32"/>
      <c r="AL8" s="32"/>
      <c r="AM8" s="32"/>
      <c r="AN8" s="32"/>
      <c r="AO8" s="33"/>
      <c r="AP8" s="31"/>
      <c r="AQ8" s="33"/>
      <c r="AR8" s="31"/>
      <c r="AS8" s="33"/>
      <c r="AT8" s="31"/>
      <c r="AU8" s="32"/>
      <c r="AV8" s="32"/>
      <c r="AW8" s="32"/>
      <c r="AX8" s="32"/>
      <c r="AY8" s="32"/>
      <c r="AZ8" s="32"/>
      <c r="BA8" s="32"/>
      <c r="BB8" s="32"/>
      <c r="BC8" s="32"/>
      <c r="BD8" s="63"/>
      <c r="BE8" s="33"/>
      <c r="BF8" s="37" t="s">
        <v>547</v>
      </c>
    </row>
    <row r="9" spans="1:58" ht="69" customHeight="1" x14ac:dyDescent="0.25">
      <c r="A9" s="31" t="s">
        <v>14</v>
      </c>
      <c r="B9" s="32" t="s">
        <v>20</v>
      </c>
      <c r="C9" s="32" t="s">
        <v>170</v>
      </c>
      <c r="D9" s="33" t="s">
        <v>21</v>
      </c>
      <c r="E9" s="86">
        <v>52.187869999999997</v>
      </c>
      <c r="F9" s="87">
        <v>4.4157299999999999</v>
      </c>
      <c r="G9" s="31">
        <v>2900</v>
      </c>
      <c r="H9" s="34"/>
      <c r="I9" s="33" t="s">
        <v>172</v>
      </c>
      <c r="J9" s="37"/>
      <c r="K9" s="31" t="s">
        <v>545</v>
      </c>
      <c r="L9" s="35"/>
      <c r="M9" s="33"/>
      <c r="N9" s="31"/>
      <c r="O9" s="33"/>
      <c r="P9" s="31"/>
      <c r="Q9" s="33"/>
      <c r="R9" s="31"/>
      <c r="S9" s="32"/>
      <c r="T9" s="32"/>
      <c r="U9" s="34"/>
      <c r="V9" s="62"/>
      <c r="W9" s="31"/>
      <c r="X9" s="32"/>
      <c r="Y9" s="95"/>
      <c r="Z9" s="31"/>
      <c r="AA9" s="32"/>
      <c r="AB9" s="32"/>
      <c r="AC9" s="32"/>
      <c r="AD9" s="33"/>
      <c r="AE9" s="31"/>
      <c r="AF9" s="32"/>
      <c r="AG9" s="32"/>
      <c r="AH9" s="32"/>
      <c r="AI9" s="33"/>
      <c r="AJ9" s="31"/>
      <c r="AK9" s="32"/>
      <c r="AL9" s="32"/>
      <c r="AM9" s="32"/>
      <c r="AN9" s="32"/>
      <c r="AO9" s="33"/>
      <c r="AP9" s="31"/>
      <c r="AQ9" s="33"/>
      <c r="AR9" s="31"/>
      <c r="AS9" s="33"/>
      <c r="AT9" s="31"/>
      <c r="AU9" s="32"/>
      <c r="AV9" s="32"/>
      <c r="AW9" s="32"/>
      <c r="AX9" s="32"/>
      <c r="AY9" s="32"/>
      <c r="AZ9" s="32"/>
      <c r="BA9" s="32"/>
      <c r="BB9" s="32"/>
      <c r="BC9" s="32"/>
      <c r="BD9" s="63"/>
      <c r="BE9" s="33"/>
      <c r="BF9" s="37" t="s">
        <v>547</v>
      </c>
    </row>
    <row r="10" spans="1:58" ht="69" customHeight="1" x14ac:dyDescent="0.25">
      <c r="A10" s="31" t="s">
        <v>14</v>
      </c>
      <c r="B10" s="32" t="s">
        <v>22</v>
      </c>
      <c r="C10" s="32" t="s">
        <v>171</v>
      </c>
      <c r="D10" s="33" t="s">
        <v>23</v>
      </c>
      <c r="E10" s="86">
        <v>52.044314</v>
      </c>
      <c r="F10" s="87">
        <v>4.2029269999999999</v>
      </c>
      <c r="G10" s="31">
        <v>900</v>
      </c>
      <c r="H10" s="34"/>
      <c r="I10" s="33" t="s">
        <v>172</v>
      </c>
      <c r="J10" s="37"/>
      <c r="K10" s="31" t="s">
        <v>545</v>
      </c>
      <c r="L10" s="35"/>
      <c r="M10" s="33"/>
      <c r="N10" s="31"/>
      <c r="O10" s="33"/>
      <c r="P10" s="31"/>
      <c r="Q10" s="33"/>
      <c r="R10" s="31"/>
      <c r="S10" s="32"/>
      <c r="T10" s="32"/>
      <c r="U10" s="34"/>
      <c r="V10" s="62"/>
      <c r="W10" s="31"/>
      <c r="X10" s="32"/>
      <c r="Y10" s="95"/>
      <c r="Z10" s="31"/>
      <c r="AA10" s="32"/>
      <c r="AB10" s="32"/>
      <c r="AC10" s="32"/>
      <c r="AD10" s="33"/>
      <c r="AE10" s="31"/>
      <c r="AF10" s="32"/>
      <c r="AG10" s="32"/>
      <c r="AH10" s="32"/>
      <c r="AI10" s="33"/>
      <c r="AJ10" s="31"/>
      <c r="AK10" s="32"/>
      <c r="AL10" s="32"/>
      <c r="AM10" s="32"/>
      <c r="AN10" s="32"/>
      <c r="AO10" s="33"/>
      <c r="AP10" s="31"/>
      <c r="AQ10" s="33"/>
      <c r="AR10" s="31"/>
      <c r="AS10" s="33"/>
      <c r="AT10" s="31"/>
      <c r="AU10" s="32"/>
      <c r="AV10" s="32"/>
      <c r="AW10" s="32"/>
      <c r="AX10" s="32"/>
      <c r="AY10" s="32"/>
      <c r="AZ10" s="32"/>
      <c r="BA10" s="32"/>
      <c r="BB10" s="32"/>
      <c r="BC10" s="32"/>
      <c r="BD10" s="63"/>
      <c r="BE10" s="33"/>
      <c r="BF10" s="37" t="s">
        <v>547</v>
      </c>
    </row>
    <row r="11" spans="1:58" ht="187.5" x14ac:dyDescent="0.25">
      <c r="A11" s="24" t="s">
        <v>166</v>
      </c>
      <c r="B11" s="25" t="s">
        <v>24</v>
      </c>
      <c r="C11" s="25" t="s">
        <v>25</v>
      </c>
      <c r="D11" s="26" t="s">
        <v>26</v>
      </c>
      <c r="E11" s="88">
        <v>51.814700000000002</v>
      </c>
      <c r="F11" s="89">
        <v>4.7283400000000002</v>
      </c>
      <c r="G11" s="83">
        <v>1150</v>
      </c>
      <c r="H11" s="84">
        <v>1750</v>
      </c>
      <c r="I11" s="85" t="s">
        <v>0</v>
      </c>
      <c r="J11" s="30"/>
      <c r="K11" s="24" t="s">
        <v>236</v>
      </c>
      <c r="L11" s="28" t="s">
        <v>237</v>
      </c>
      <c r="M11" s="26" t="s">
        <v>238</v>
      </c>
      <c r="N11" s="24">
        <v>5</v>
      </c>
      <c r="O11" s="26" t="s">
        <v>203</v>
      </c>
      <c r="P11" s="24" t="s">
        <v>183</v>
      </c>
      <c r="Q11" s="26" t="s">
        <v>241</v>
      </c>
      <c r="R11" s="24" t="s">
        <v>185</v>
      </c>
      <c r="S11" s="25" t="s">
        <v>186</v>
      </c>
      <c r="T11" s="25" t="s">
        <v>244</v>
      </c>
      <c r="U11" s="27">
        <v>100</v>
      </c>
      <c r="V11" s="85">
        <f t="shared" ref="V11:V23" si="1">N11*U11</f>
        <v>500</v>
      </c>
      <c r="W11" s="24">
        <v>24</v>
      </c>
      <c r="X11" s="25" t="s">
        <v>194</v>
      </c>
      <c r="Y11" s="105">
        <f>4.2/(W11/60)</f>
        <v>10.5</v>
      </c>
      <c r="Z11" s="24" t="s">
        <v>252</v>
      </c>
      <c r="AA11" s="25">
        <v>1.3</v>
      </c>
      <c r="AB11" s="25" t="s">
        <v>541</v>
      </c>
      <c r="AC11" s="29" t="s">
        <v>252</v>
      </c>
      <c r="AD11" s="26" t="s">
        <v>253</v>
      </c>
      <c r="AE11" s="56"/>
      <c r="AF11" s="25" t="s">
        <v>254</v>
      </c>
      <c r="AG11" s="25" t="s">
        <v>255</v>
      </c>
      <c r="AH11" s="25" t="s">
        <v>256</v>
      </c>
      <c r="AI11" s="26" t="s">
        <v>196</v>
      </c>
      <c r="AJ11" s="24" t="s">
        <v>194</v>
      </c>
      <c r="AK11" s="29" t="s">
        <v>260</v>
      </c>
      <c r="AL11" s="25" t="s">
        <v>261</v>
      </c>
      <c r="AM11" s="25"/>
      <c r="AN11" s="25" t="s">
        <v>262</v>
      </c>
      <c r="AO11" s="26" t="s">
        <v>263</v>
      </c>
      <c r="AP11" s="24" t="s">
        <v>270</v>
      </c>
      <c r="AQ11" s="26" t="s">
        <v>271</v>
      </c>
      <c r="AR11" s="24" t="s">
        <v>194</v>
      </c>
      <c r="AS11" s="26" t="s">
        <v>273</v>
      </c>
      <c r="AT11" s="24" t="s">
        <v>274</v>
      </c>
      <c r="AU11" s="25" t="s">
        <v>275</v>
      </c>
      <c r="AV11" s="58" t="s">
        <v>276</v>
      </c>
      <c r="AW11" s="58" t="s">
        <v>284</v>
      </c>
      <c r="AX11" s="58" t="s">
        <v>284</v>
      </c>
      <c r="AY11" s="59" t="s">
        <v>194</v>
      </c>
      <c r="AZ11" s="25" t="s">
        <v>285</v>
      </c>
      <c r="BA11" s="25" t="s">
        <v>285</v>
      </c>
      <c r="BB11" s="25" t="s">
        <v>285</v>
      </c>
      <c r="BC11" s="25" t="s">
        <v>286</v>
      </c>
      <c r="BD11" s="59" t="s">
        <v>287</v>
      </c>
      <c r="BE11" s="26" t="s">
        <v>285</v>
      </c>
      <c r="BF11" s="30"/>
    </row>
    <row r="12" spans="1:58" ht="69" customHeight="1" x14ac:dyDescent="0.25">
      <c r="A12" s="24" t="s">
        <v>166</v>
      </c>
      <c r="B12" s="25" t="s">
        <v>27</v>
      </c>
      <c r="C12" s="25" t="s">
        <v>28</v>
      </c>
      <c r="D12" s="26" t="s">
        <v>29</v>
      </c>
      <c r="E12" s="88">
        <v>51.833019999999998</v>
      </c>
      <c r="F12" s="89">
        <v>4.3976499999999996</v>
      </c>
      <c r="G12" s="83">
        <v>10500</v>
      </c>
      <c r="H12" s="84" t="s">
        <v>229</v>
      </c>
      <c r="I12" s="85" t="s">
        <v>0</v>
      </c>
      <c r="J12" s="30"/>
      <c r="K12" s="24" t="s">
        <v>236</v>
      </c>
      <c r="L12" s="28" t="s">
        <v>237</v>
      </c>
      <c r="M12" s="26" t="s">
        <v>238</v>
      </c>
      <c r="N12" s="24">
        <v>44</v>
      </c>
      <c r="O12" s="26" t="s">
        <v>203</v>
      </c>
      <c r="P12" s="24" t="s">
        <v>183</v>
      </c>
      <c r="Q12" s="26" t="s">
        <v>242</v>
      </c>
      <c r="R12" s="24" t="s">
        <v>185</v>
      </c>
      <c r="S12" s="25" t="s">
        <v>186</v>
      </c>
      <c r="T12" s="25" t="s">
        <v>245</v>
      </c>
      <c r="U12" s="27">
        <v>113</v>
      </c>
      <c r="V12" s="85">
        <f t="shared" si="1"/>
        <v>4972</v>
      </c>
      <c r="W12" s="24">
        <v>28</v>
      </c>
      <c r="X12" s="25" t="s">
        <v>194</v>
      </c>
      <c r="Y12" s="105">
        <f>4/(W12/60)</f>
        <v>8.5714285714285712</v>
      </c>
      <c r="Z12" s="24" t="s">
        <v>252</v>
      </c>
      <c r="AA12" s="25">
        <v>1.5</v>
      </c>
      <c r="AB12" s="25" t="s">
        <v>541</v>
      </c>
      <c r="AC12" s="29" t="s">
        <v>252</v>
      </c>
      <c r="AD12" s="26" t="s">
        <v>253</v>
      </c>
      <c r="AE12" s="24"/>
      <c r="AF12" s="25" t="s">
        <v>254</v>
      </c>
      <c r="AG12" s="25" t="s">
        <v>257</v>
      </c>
      <c r="AH12" s="25" t="s">
        <v>256</v>
      </c>
      <c r="AI12" s="26" t="s">
        <v>196</v>
      </c>
      <c r="AJ12" s="24" t="s">
        <v>194</v>
      </c>
      <c r="AK12" s="29" t="s">
        <v>260</v>
      </c>
      <c r="AL12" s="25" t="s">
        <v>261</v>
      </c>
      <c r="AM12" s="25"/>
      <c r="AN12" s="25" t="s">
        <v>262</v>
      </c>
      <c r="AO12" s="26" t="s">
        <v>263</v>
      </c>
      <c r="AP12" s="24" t="s">
        <v>270</v>
      </c>
      <c r="AQ12" s="26" t="s">
        <v>272</v>
      </c>
      <c r="AR12" s="24"/>
      <c r="AS12" s="26"/>
      <c r="AT12" s="24" t="s">
        <v>274</v>
      </c>
      <c r="AU12" s="25" t="s">
        <v>275</v>
      </c>
      <c r="AV12" s="58" t="s">
        <v>276</v>
      </c>
      <c r="AW12" s="58" t="s">
        <v>284</v>
      </c>
      <c r="AX12" s="58" t="s">
        <v>284</v>
      </c>
      <c r="AY12" s="59" t="s">
        <v>194</v>
      </c>
      <c r="AZ12" s="25" t="s">
        <v>285</v>
      </c>
      <c r="BA12" s="25" t="s">
        <v>285</v>
      </c>
      <c r="BB12" s="25" t="s">
        <v>285</v>
      </c>
      <c r="BC12" s="25" t="s">
        <v>286</v>
      </c>
      <c r="BD12" s="59" t="s">
        <v>287</v>
      </c>
      <c r="BE12" s="26" t="s">
        <v>285</v>
      </c>
      <c r="BF12" s="30"/>
    </row>
    <row r="13" spans="1:58" ht="69" customHeight="1" x14ac:dyDescent="0.25">
      <c r="A13" s="24" t="s">
        <v>166</v>
      </c>
      <c r="B13" s="25" t="s">
        <v>30</v>
      </c>
      <c r="C13" s="25" t="s">
        <v>31</v>
      </c>
      <c r="D13" s="26" t="s">
        <v>32</v>
      </c>
      <c r="E13" s="88">
        <v>51.309567999999999</v>
      </c>
      <c r="F13" s="89">
        <v>3.7807949999999999</v>
      </c>
      <c r="G13" s="83">
        <v>1750</v>
      </c>
      <c r="H13" s="84" t="s">
        <v>230</v>
      </c>
      <c r="I13" s="85" t="s">
        <v>0</v>
      </c>
      <c r="J13" s="30"/>
      <c r="K13" s="24" t="s">
        <v>236</v>
      </c>
      <c r="L13" s="28" t="s">
        <v>237</v>
      </c>
      <c r="M13" s="26" t="s">
        <v>238</v>
      </c>
      <c r="N13" s="24">
        <v>12</v>
      </c>
      <c r="O13" s="26" t="s">
        <v>203</v>
      </c>
      <c r="P13" s="24" t="s">
        <v>183</v>
      </c>
      <c r="Q13" s="26" t="s">
        <v>243</v>
      </c>
      <c r="R13" s="24" t="s">
        <v>246</v>
      </c>
      <c r="S13" s="25" t="s">
        <v>206</v>
      </c>
      <c r="T13" s="25" t="s">
        <v>247</v>
      </c>
      <c r="U13" s="27">
        <v>82</v>
      </c>
      <c r="V13" s="85">
        <f t="shared" si="1"/>
        <v>984</v>
      </c>
      <c r="W13" s="24">
        <v>30</v>
      </c>
      <c r="X13" s="25" t="s">
        <v>194</v>
      </c>
      <c r="Y13" s="105">
        <f>3.3/(W13/60)</f>
        <v>6.6</v>
      </c>
      <c r="Z13" s="24" t="s">
        <v>252</v>
      </c>
      <c r="AA13" s="25">
        <v>1.7</v>
      </c>
      <c r="AB13" s="25" t="s">
        <v>541</v>
      </c>
      <c r="AC13" s="29" t="s">
        <v>252</v>
      </c>
      <c r="AD13" s="26" t="s">
        <v>253</v>
      </c>
      <c r="AE13" s="24"/>
      <c r="AF13" s="25" t="s">
        <v>254</v>
      </c>
      <c r="AG13" s="25" t="s">
        <v>258</v>
      </c>
      <c r="AH13" s="25" t="s">
        <v>256</v>
      </c>
      <c r="AI13" s="26" t="s">
        <v>196</v>
      </c>
      <c r="AJ13" s="24" t="s">
        <v>194</v>
      </c>
      <c r="AK13" s="29" t="s">
        <v>260</v>
      </c>
      <c r="AL13" s="25" t="s">
        <v>261</v>
      </c>
      <c r="AM13" s="25"/>
      <c r="AN13" s="25" t="s">
        <v>262</v>
      </c>
      <c r="AO13" s="26" t="s">
        <v>263</v>
      </c>
      <c r="AP13" s="24" t="s">
        <v>270</v>
      </c>
      <c r="AQ13" s="26"/>
      <c r="AR13" s="24"/>
      <c r="AS13" s="26"/>
      <c r="AT13" s="24" t="s">
        <v>277</v>
      </c>
      <c r="AU13" s="25" t="s">
        <v>278</v>
      </c>
      <c r="AV13" s="58" t="s">
        <v>276</v>
      </c>
      <c r="AW13" s="58" t="s">
        <v>284</v>
      </c>
      <c r="AX13" s="58" t="s">
        <v>284</v>
      </c>
      <c r="AY13" s="59" t="s">
        <v>194</v>
      </c>
      <c r="AZ13" s="25" t="s">
        <v>285</v>
      </c>
      <c r="BA13" s="25" t="s">
        <v>285</v>
      </c>
      <c r="BB13" s="25" t="s">
        <v>285</v>
      </c>
      <c r="BC13" s="25" t="s">
        <v>286</v>
      </c>
      <c r="BD13" s="59" t="s">
        <v>287</v>
      </c>
      <c r="BE13" s="26" t="s">
        <v>285</v>
      </c>
      <c r="BF13" s="30"/>
    </row>
    <row r="14" spans="1:58" ht="69" customHeight="1" x14ac:dyDescent="0.25">
      <c r="A14" s="24" t="s">
        <v>166</v>
      </c>
      <c r="B14" s="25" t="s">
        <v>33</v>
      </c>
      <c r="C14" s="25" t="s">
        <v>34</v>
      </c>
      <c r="D14" s="26" t="s">
        <v>33</v>
      </c>
      <c r="E14" s="88">
        <v>51.700400000000002</v>
      </c>
      <c r="F14" s="89">
        <v>3.7427000000000001</v>
      </c>
      <c r="G14" s="83">
        <v>400</v>
      </c>
      <c r="H14" s="84" t="s">
        <v>231</v>
      </c>
      <c r="I14" s="85" t="s">
        <v>232</v>
      </c>
      <c r="J14" s="30"/>
      <c r="K14" s="24" t="s">
        <v>236</v>
      </c>
      <c r="L14" s="28" t="s">
        <v>239</v>
      </c>
      <c r="M14" s="26" t="s">
        <v>182</v>
      </c>
      <c r="N14" s="24">
        <v>5</v>
      </c>
      <c r="O14" s="26" t="s">
        <v>203</v>
      </c>
      <c r="P14" s="24" t="s">
        <v>183</v>
      </c>
      <c r="Q14" s="26" t="s">
        <v>243</v>
      </c>
      <c r="R14" s="24" t="s">
        <v>246</v>
      </c>
      <c r="S14" s="25" t="s">
        <v>206</v>
      </c>
      <c r="T14" s="25" t="s">
        <v>248</v>
      </c>
      <c r="U14" s="27">
        <v>44</v>
      </c>
      <c r="V14" s="85">
        <f t="shared" si="1"/>
        <v>220</v>
      </c>
      <c r="W14" s="24">
        <v>35</v>
      </c>
      <c r="X14" s="25" t="s">
        <v>194</v>
      </c>
      <c r="Y14" s="105">
        <f>2/(W14/60)</f>
        <v>3.4285714285714284</v>
      </c>
      <c r="Z14" s="24" t="s">
        <v>252</v>
      </c>
      <c r="AA14" s="25">
        <v>1.3</v>
      </c>
      <c r="AB14" s="25" t="s">
        <v>542</v>
      </c>
      <c r="AC14" s="29" t="s">
        <v>252</v>
      </c>
      <c r="AD14" s="26" t="s">
        <v>253</v>
      </c>
      <c r="AE14" s="24"/>
      <c r="AF14" s="25" t="s">
        <v>254</v>
      </c>
      <c r="AG14" s="25" t="s">
        <v>259</v>
      </c>
      <c r="AH14" s="25" t="s">
        <v>256</v>
      </c>
      <c r="AI14" s="26" t="s">
        <v>196</v>
      </c>
      <c r="AJ14" s="24" t="s">
        <v>194</v>
      </c>
      <c r="AK14" s="29" t="s">
        <v>260</v>
      </c>
      <c r="AL14" s="25" t="s">
        <v>261</v>
      </c>
      <c r="AM14" s="25"/>
      <c r="AN14" s="25" t="s">
        <v>262</v>
      </c>
      <c r="AO14" s="26" t="s">
        <v>263</v>
      </c>
      <c r="AP14" s="24" t="s">
        <v>270</v>
      </c>
      <c r="AQ14" s="26" t="s">
        <v>271</v>
      </c>
      <c r="AR14" s="24"/>
      <c r="AS14" s="26"/>
      <c r="AT14" s="24" t="s">
        <v>274</v>
      </c>
      <c r="AU14" s="25" t="s">
        <v>278</v>
      </c>
      <c r="AV14" s="58" t="s">
        <v>279</v>
      </c>
      <c r="AW14" s="58" t="s">
        <v>284</v>
      </c>
      <c r="AX14" s="58" t="s">
        <v>284</v>
      </c>
      <c r="AY14" s="59" t="s">
        <v>194</v>
      </c>
      <c r="AZ14" s="25" t="s">
        <v>285</v>
      </c>
      <c r="BA14" s="25" t="s">
        <v>285</v>
      </c>
      <c r="BB14" s="25" t="s">
        <v>285</v>
      </c>
      <c r="BC14" s="25" t="s">
        <v>286</v>
      </c>
      <c r="BD14" s="59" t="s">
        <v>288</v>
      </c>
      <c r="BE14" s="26" t="s">
        <v>285</v>
      </c>
      <c r="BF14" s="30"/>
    </row>
    <row r="15" spans="1:58" ht="69" customHeight="1" x14ac:dyDescent="0.25">
      <c r="A15" s="24" t="s">
        <v>166</v>
      </c>
      <c r="B15" s="25" t="s">
        <v>35</v>
      </c>
      <c r="C15" s="25" t="s">
        <v>36</v>
      </c>
      <c r="D15" s="26" t="s">
        <v>37</v>
      </c>
      <c r="E15" s="88">
        <v>51.828960000000002</v>
      </c>
      <c r="F15" s="89">
        <v>3.9574600000000002</v>
      </c>
      <c r="G15" s="83">
        <v>275</v>
      </c>
      <c r="H15" s="84" t="s">
        <v>233</v>
      </c>
      <c r="I15" s="85" t="s">
        <v>234</v>
      </c>
      <c r="J15" s="30"/>
      <c r="K15" s="24" t="s">
        <v>236</v>
      </c>
      <c r="L15" s="28" t="s">
        <v>240</v>
      </c>
      <c r="M15" s="26" t="s">
        <v>182</v>
      </c>
      <c r="N15" s="24">
        <v>5</v>
      </c>
      <c r="O15" s="26" t="s">
        <v>203</v>
      </c>
      <c r="P15" s="24" t="s">
        <v>183</v>
      </c>
      <c r="Q15" s="26" t="s">
        <v>243</v>
      </c>
      <c r="R15" s="24" t="s">
        <v>246</v>
      </c>
      <c r="S15" s="25" t="s">
        <v>206</v>
      </c>
      <c r="T15" s="25" t="s">
        <v>249</v>
      </c>
      <c r="U15" s="27">
        <v>52</v>
      </c>
      <c r="V15" s="85">
        <f t="shared" si="1"/>
        <v>260</v>
      </c>
      <c r="W15" s="24">
        <v>50</v>
      </c>
      <c r="X15" s="25" t="s">
        <v>194</v>
      </c>
      <c r="Y15" s="105">
        <f>2.5/(W15/60)</f>
        <v>3</v>
      </c>
      <c r="Z15" s="24" t="s">
        <v>252</v>
      </c>
      <c r="AA15" s="25">
        <v>1.7</v>
      </c>
      <c r="AB15" s="25" t="s">
        <v>542</v>
      </c>
      <c r="AC15" s="29" t="s">
        <v>252</v>
      </c>
      <c r="AD15" s="26" t="s">
        <v>253</v>
      </c>
      <c r="AE15" s="24"/>
      <c r="AF15" s="25" t="s">
        <v>254</v>
      </c>
      <c r="AG15" s="25" t="s">
        <v>259</v>
      </c>
      <c r="AH15" s="25" t="s">
        <v>256</v>
      </c>
      <c r="AI15" s="26" t="s">
        <v>196</v>
      </c>
      <c r="AJ15" s="24" t="s">
        <v>194</v>
      </c>
      <c r="AK15" s="29" t="s">
        <v>269</v>
      </c>
      <c r="AL15" s="25" t="s">
        <v>264</v>
      </c>
      <c r="AM15" s="25" t="s">
        <v>265</v>
      </c>
      <c r="AN15" s="25" t="s">
        <v>266</v>
      </c>
      <c r="AO15" s="26" t="s">
        <v>267</v>
      </c>
      <c r="AP15" s="24" t="s">
        <v>270</v>
      </c>
      <c r="AQ15" s="26"/>
      <c r="AR15" s="24"/>
      <c r="AS15" s="26"/>
      <c r="AT15" s="24" t="s">
        <v>280</v>
      </c>
      <c r="AU15" s="25" t="s">
        <v>278</v>
      </c>
      <c r="AV15" s="58" t="s">
        <v>279</v>
      </c>
      <c r="AW15" s="58" t="s">
        <v>284</v>
      </c>
      <c r="AX15" s="58" t="s">
        <v>284</v>
      </c>
      <c r="AY15" s="59" t="s">
        <v>194</v>
      </c>
      <c r="AZ15" s="25" t="s">
        <v>285</v>
      </c>
      <c r="BA15" s="25" t="s">
        <v>285</v>
      </c>
      <c r="BB15" s="25" t="s">
        <v>285</v>
      </c>
      <c r="BC15" s="25" t="s">
        <v>286</v>
      </c>
      <c r="BD15" s="59" t="s">
        <v>288</v>
      </c>
      <c r="BE15" s="26" t="s">
        <v>285</v>
      </c>
      <c r="BF15" s="30"/>
    </row>
    <row r="16" spans="1:58" ht="69" customHeight="1" x14ac:dyDescent="0.25">
      <c r="A16" s="24" t="s">
        <v>166</v>
      </c>
      <c r="B16" s="25" t="s">
        <v>38</v>
      </c>
      <c r="C16" s="25" t="s">
        <v>39</v>
      </c>
      <c r="D16" s="26" t="s">
        <v>40</v>
      </c>
      <c r="E16" s="88">
        <v>51.906289999999998</v>
      </c>
      <c r="F16" s="89">
        <v>4.5385999999999997</v>
      </c>
      <c r="G16" s="83">
        <v>4100</v>
      </c>
      <c r="H16" s="84" t="s">
        <v>235</v>
      </c>
      <c r="I16" s="85" t="s">
        <v>0</v>
      </c>
      <c r="J16" s="30"/>
      <c r="K16" s="24" t="s">
        <v>236</v>
      </c>
      <c r="L16" s="28" t="s">
        <v>237</v>
      </c>
      <c r="M16" s="26" t="s">
        <v>238</v>
      </c>
      <c r="N16" s="24">
        <v>12</v>
      </c>
      <c r="O16" s="26" t="s">
        <v>203</v>
      </c>
      <c r="P16" s="24" t="s">
        <v>183</v>
      </c>
      <c r="Q16" s="26" t="s">
        <v>241</v>
      </c>
      <c r="R16" s="24" t="s">
        <v>185</v>
      </c>
      <c r="S16" s="25" t="s">
        <v>186</v>
      </c>
      <c r="T16" s="25" t="s">
        <v>250</v>
      </c>
      <c r="U16" s="27">
        <v>115</v>
      </c>
      <c r="V16" s="85">
        <f t="shared" si="1"/>
        <v>1380</v>
      </c>
      <c r="W16" s="24">
        <v>20</v>
      </c>
      <c r="X16" s="25" t="s">
        <v>194</v>
      </c>
      <c r="Y16" s="105">
        <f>4.25/(W16/60)</f>
        <v>12.75</v>
      </c>
      <c r="Z16" s="24" t="s">
        <v>252</v>
      </c>
      <c r="AA16" s="60">
        <v>1</v>
      </c>
      <c r="AB16" s="60" t="s">
        <v>541</v>
      </c>
      <c r="AC16" s="29" t="s">
        <v>252</v>
      </c>
      <c r="AD16" s="26" t="s">
        <v>253</v>
      </c>
      <c r="AE16" s="24"/>
      <c r="AF16" s="25" t="s">
        <v>254</v>
      </c>
      <c r="AG16" s="25" t="s">
        <v>255</v>
      </c>
      <c r="AH16" s="25" t="s">
        <v>256</v>
      </c>
      <c r="AI16" s="26" t="s">
        <v>196</v>
      </c>
      <c r="AJ16" s="24" t="s">
        <v>194</v>
      </c>
      <c r="AK16" s="29" t="s">
        <v>260</v>
      </c>
      <c r="AL16" s="25" t="s">
        <v>261</v>
      </c>
      <c r="AM16" s="25"/>
      <c r="AN16" s="25" t="s">
        <v>268</v>
      </c>
      <c r="AO16" s="26" t="s">
        <v>268</v>
      </c>
      <c r="AP16" s="24" t="s">
        <v>270</v>
      </c>
      <c r="AQ16" s="26" t="s">
        <v>272</v>
      </c>
      <c r="AR16" s="24"/>
      <c r="AS16" s="26"/>
      <c r="AT16" s="24" t="s">
        <v>281</v>
      </c>
      <c r="AU16" s="25" t="s">
        <v>282</v>
      </c>
      <c r="AV16" s="58" t="s">
        <v>276</v>
      </c>
      <c r="AW16" s="58" t="s">
        <v>284</v>
      </c>
      <c r="AX16" s="58" t="s">
        <v>284</v>
      </c>
      <c r="AY16" s="59" t="s">
        <v>194</v>
      </c>
      <c r="AZ16" s="25" t="s">
        <v>285</v>
      </c>
      <c r="BA16" s="25" t="s">
        <v>285</v>
      </c>
      <c r="BB16" s="25" t="s">
        <v>285</v>
      </c>
      <c r="BC16" s="25" t="s">
        <v>286</v>
      </c>
      <c r="BD16" s="59" t="s">
        <v>287</v>
      </c>
      <c r="BE16" s="26" t="s">
        <v>285</v>
      </c>
      <c r="BF16" s="30"/>
    </row>
    <row r="17" spans="1:58" ht="69" customHeight="1" x14ac:dyDescent="0.25">
      <c r="A17" s="31" t="s">
        <v>41</v>
      </c>
      <c r="B17" s="32" t="s">
        <v>512</v>
      </c>
      <c r="C17" s="32" t="s">
        <v>95</v>
      </c>
      <c r="D17" s="33" t="s">
        <v>96</v>
      </c>
      <c r="E17" s="86">
        <v>52.092511999999999</v>
      </c>
      <c r="F17" s="87">
        <v>4.8629160000000002</v>
      </c>
      <c r="G17" s="31">
        <v>360</v>
      </c>
      <c r="H17" s="34"/>
      <c r="I17" s="33" t="s">
        <v>173</v>
      </c>
      <c r="J17" s="37"/>
      <c r="K17" s="31" t="s">
        <v>223</v>
      </c>
      <c r="L17" s="35" t="s">
        <v>290</v>
      </c>
      <c r="M17" s="33" t="s">
        <v>195</v>
      </c>
      <c r="N17" s="31">
        <v>3</v>
      </c>
      <c r="O17" s="33" t="s">
        <v>224</v>
      </c>
      <c r="P17" s="61" t="s">
        <v>183</v>
      </c>
      <c r="Q17" s="62" t="s">
        <v>291</v>
      </c>
      <c r="R17" s="61" t="s">
        <v>225</v>
      </c>
      <c r="S17" s="63" t="s">
        <v>186</v>
      </c>
      <c r="T17" s="63"/>
      <c r="U17" s="63">
        <v>20</v>
      </c>
      <c r="V17" s="62">
        <f t="shared" si="1"/>
        <v>60</v>
      </c>
      <c r="W17" s="61">
        <v>14</v>
      </c>
      <c r="X17" s="32" t="s">
        <v>182</v>
      </c>
      <c r="Y17" s="95"/>
      <c r="Z17" s="31"/>
      <c r="AA17" s="32">
        <v>0.5</v>
      </c>
      <c r="AB17" s="32">
        <f>18750/AA17</f>
        <v>37500</v>
      </c>
      <c r="AC17" s="36" t="s">
        <v>302</v>
      </c>
      <c r="AD17" s="51" t="s">
        <v>183</v>
      </c>
      <c r="AE17" s="31" t="s">
        <v>313</v>
      </c>
      <c r="AF17" s="32" t="s">
        <v>314</v>
      </c>
      <c r="AG17" s="36"/>
      <c r="AH17" s="32"/>
      <c r="AI17" s="33"/>
      <c r="AJ17" s="31" t="s">
        <v>196</v>
      </c>
      <c r="AK17" s="32" t="s">
        <v>197</v>
      </c>
      <c r="AL17" s="32" t="s">
        <v>197</v>
      </c>
      <c r="AM17" s="32" t="s">
        <v>197</v>
      </c>
      <c r="AN17" s="32" t="s">
        <v>197</v>
      </c>
      <c r="AO17" s="51" t="s">
        <v>197</v>
      </c>
      <c r="AP17" s="31"/>
      <c r="AQ17" s="33" t="s">
        <v>315</v>
      </c>
      <c r="AR17" s="31" t="s">
        <v>196</v>
      </c>
      <c r="AS17" s="51"/>
      <c r="AT17" s="31" t="s">
        <v>182</v>
      </c>
      <c r="AU17" s="32" t="s">
        <v>182</v>
      </c>
      <c r="AV17" s="32"/>
      <c r="AW17" s="32" t="s">
        <v>182</v>
      </c>
      <c r="AX17" s="32" t="s">
        <v>182</v>
      </c>
      <c r="AY17" s="32" t="s">
        <v>182</v>
      </c>
      <c r="AZ17" s="32" t="s">
        <v>182</v>
      </c>
      <c r="BA17" s="32" t="s">
        <v>182</v>
      </c>
      <c r="BB17" s="32" t="s">
        <v>182</v>
      </c>
      <c r="BC17" s="32"/>
      <c r="BD17" s="63"/>
      <c r="BE17" s="33" t="s">
        <v>182</v>
      </c>
      <c r="BF17" s="37" t="s">
        <v>510</v>
      </c>
    </row>
    <row r="18" spans="1:58" ht="69" customHeight="1" x14ac:dyDescent="0.25">
      <c r="A18" s="31" t="s">
        <v>41</v>
      </c>
      <c r="B18" s="32" t="s">
        <v>511</v>
      </c>
      <c r="C18" s="32" t="s">
        <v>97</v>
      </c>
      <c r="D18" s="33" t="s">
        <v>98</v>
      </c>
      <c r="E18" s="86">
        <v>51.88212</v>
      </c>
      <c r="F18" s="87">
        <v>4.6691399999999996</v>
      </c>
      <c r="G18" s="31"/>
      <c r="H18" s="34"/>
      <c r="I18" s="33"/>
      <c r="J18" s="37"/>
      <c r="K18" s="31"/>
      <c r="L18" s="35"/>
      <c r="M18" s="33"/>
      <c r="N18" s="31"/>
      <c r="O18" s="33"/>
      <c r="P18" s="61"/>
      <c r="Q18" s="62"/>
      <c r="R18" s="61"/>
      <c r="S18" s="63"/>
      <c r="T18" s="63"/>
      <c r="U18" s="63"/>
      <c r="V18" s="62"/>
      <c r="W18" s="61"/>
      <c r="X18" s="32"/>
      <c r="Y18" s="95"/>
      <c r="Z18" s="31"/>
      <c r="AA18" s="32"/>
      <c r="AB18" s="32"/>
      <c r="AC18" s="36"/>
      <c r="AD18" s="51"/>
      <c r="AE18" s="31"/>
      <c r="AF18" s="32"/>
      <c r="AG18" s="36"/>
      <c r="AH18" s="32"/>
      <c r="AI18" s="33"/>
      <c r="AJ18" s="31"/>
      <c r="AK18" s="32"/>
      <c r="AL18" s="32"/>
      <c r="AM18" s="32"/>
      <c r="AN18" s="32"/>
      <c r="AO18" s="51"/>
      <c r="AP18" s="31"/>
      <c r="AQ18" s="33"/>
      <c r="AR18" s="31"/>
      <c r="AS18" s="51"/>
      <c r="AT18" s="31"/>
      <c r="AU18" s="32"/>
      <c r="AV18" s="32"/>
      <c r="AW18" s="32"/>
      <c r="AX18" s="32"/>
      <c r="AY18" s="32"/>
      <c r="AZ18" s="32"/>
      <c r="BA18" s="32"/>
      <c r="BB18" s="32"/>
      <c r="BC18" s="32"/>
      <c r="BD18" s="63"/>
      <c r="BE18" s="33"/>
      <c r="BF18" s="37" t="s">
        <v>509</v>
      </c>
    </row>
    <row r="19" spans="1:58" ht="69" customHeight="1" x14ac:dyDescent="0.25">
      <c r="A19" s="31" t="s">
        <v>41</v>
      </c>
      <c r="B19" s="32" t="s">
        <v>42</v>
      </c>
      <c r="C19" s="32" t="s">
        <v>43</v>
      </c>
      <c r="D19" s="33" t="s">
        <v>44</v>
      </c>
      <c r="E19" s="86">
        <v>51.881509999999999</v>
      </c>
      <c r="F19" s="87">
        <v>4.5938299999999996</v>
      </c>
      <c r="G19" s="31">
        <v>450</v>
      </c>
      <c r="H19" s="34"/>
      <c r="I19" s="33" t="s">
        <v>173</v>
      </c>
      <c r="J19" s="37"/>
      <c r="K19" s="31" t="s">
        <v>223</v>
      </c>
      <c r="L19" s="35" t="s">
        <v>290</v>
      </c>
      <c r="M19" s="33" t="s">
        <v>195</v>
      </c>
      <c r="N19" s="31">
        <v>4</v>
      </c>
      <c r="O19" s="33" t="s">
        <v>224</v>
      </c>
      <c r="P19" s="61" t="s">
        <v>183</v>
      </c>
      <c r="Q19" s="62" t="s">
        <v>204</v>
      </c>
      <c r="R19" s="61" t="s">
        <v>205</v>
      </c>
      <c r="S19" s="63" t="s">
        <v>292</v>
      </c>
      <c r="T19" s="63" t="s">
        <v>293</v>
      </c>
      <c r="U19" s="63">
        <v>52</v>
      </c>
      <c r="V19" s="62">
        <f t="shared" si="1"/>
        <v>208</v>
      </c>
      <c r="W19" s="61">
        <v>23</v>
      </c>
      <c r="X19" s="32" t="s">
        <v>196</v>
      </c>
      <c r="Y19" s="101">
        <f>2/(23/60)</f>
        <v>5.2173913043478262</v>
      </c>
      <c r="Z19" s="31"/>
      <c r="AA19" s="32">
        <v>1</v>
      </c>
      <c r="AB19" s="32">
        <f>16000/AA19</f>
        <v>16000</v>
      </c>
      <c r="AC19" s="36" t="s">
        <v>303</v>
      </c>
      <c r="AD19" s="51" t="s">
        <v>183</v>
      </c>
      <c r="AE19" s="31" t="s">
        <v>313</v>
      </c>
      <c r="AF19" s="32" t="s">
        <v>314</v>
      </c>
      <c r="AG19" s="36"/>
      <c r="AH19" s="32"/>
      <c r="AI19" s="33"/>
      <c r="AJ19" s="31" t="s">
        <v>196</v>
      </c>
      <c r="AK19" s="32" t="s">
        <v>197</v>
      </c>
      <c r="AL19" s="32" t="s">
        <v>197</v>
      </c>
      <c r="AM19" s="32" t="s">
        <v>197</v>
      </c>
      <c r="AN19" s="32" t="s">
        <v>197</v>
      </c>
      <c r="AO19" s="51" t="s">
        <v>197</v>
      </c>
      <c r="AP19" s="31"/>
      <c r="AQ19" s="33"/>
      <c r="AR19" s="31"/>
      <c r="AS19" s="51"/>
      <c r="AT19" s="31" t="s">
        <v>182</v>
      </c>
      <c r="AU19" s="32" t="s">
        <v>182</v>
      </c>
      <c r="AV19" s="32"/>
      <c r="AW19" s="32" t="s">
        <v>182</v>
      </c>
      <c r="AX19" s="32" t="s">
        <v>182</v>
      </c>
      <c r="AY19" s="32" t="s">
        <v>182</v>
      </c>
      <c r="AZ19" s="32" t="s">
        <v>182</v>
      </c>
      <c r="BA19" s="32" t="s">
        <v>182</v>
      </c>
      <c r="BB19" s="32" t="s">
        <v>182</v>
      </c>
      <c r="BC19" s="32"/>
      <c r="BD19" s="63"/>
      <c r="BE19" s="33" t="s">
        <v>182</v>
      </c>
      <c r="BF19" s="37"/>
    </row>
    <row r="20" spans="1:58" ht="69" customHeight="1" x14ac:dyDescent="0.25">
      <c r="A20" s="31" t="s">
        <v>41</v>
      </c>
      <c r="B20" s="32" t="s">
        <v>45</v>
      </c>
      <c r="C20" s="32" t="s">
        <v>46</v>
      </c>
      <c r="D20" s="33" t="s">
        <v>47</v>
      </c>
      <c r="E20" s="86">
        <v>51.895119999999999</v>
      </c>
      <c r="F20" s="87">
        <v>4.6422999999999996</v>
      </c>
      <c r="G20" s="31">
        <v>500</v>
      </c>
      <c r="H20" s="34"/>
      <c r="I20" s="33" t="s">
        <v>173</v>
      </c>
      <c r="J20" s="37"/>
      <c r="K20" s="31" t="s">
        <v>223</v>
      </c>
      <c r="L20" s="35" t="s">
        <v>290</v>
      </c>
      <c r="M20" s="33" t="s">
        <v>195</v>
      </c>
      <c r="N20" s="31">
        <v>4</v>
      </c>
      <c r="O20" s="33" t="s">
        <v>224</v>
      </c>
      <c r="P20" s="61" t="s">
        <v>183</v>
      </c>
      <c r="Q20" s="62" t="s">
        <v>204</v>
      </c>
      <c r="R20" s="61" t="s">
        <v>205</v>
      </c>
      <c r="S20" s="63" t="s">
        <v>292</v>
      </c>
      <c r="T20" s="63" t="s">
        <v>294</v>
      </c>
      <c r="U20" s="63">
        <v>36</v>
      </c>
      <c r="V20" s="62">
        <f t="shared" si="1"/>
        <v>144</v>
      </c>
      <c r="W20" s="61">
        <v>23</v>
      </c>
      <c r="X20" s="32" t="s">
        <v>196</v>
      </c>
      <c r="Y20" s="101">
        <f>1.85/(23/60)</f>
        <v>4.8260869565217392</v>
      </c>
      <c r="Z20" s="31"/>
      <c r="AA20" s="32">
        <v>1.3</v>
      </c>
      <c r="AB20" s="32">
        <v>18500</v>
      </c>
      <c r="AC20" s="36" t="s">
        <v>304</v>
      </c>
      <c r="AD20" s="51" t="s">
        <v>183</v>
      </c>
      <c r="AE20" s="31" t="s">
        <v>313</v>
      </c>
      <c r="AF20" s="32" t="s">
        <v>314</v>
      </c>
      <c r="AG20" s="36"/>
      <c r="AH20" s="32"/>
      <c r="AI20" s="33"/>
      <c r="AJ20" s="31" t="s">
        <v>196</v>
      </c>
      <c r="AK20" s="32" t="s">
        <v>197</v>
      </c>
      <c r="AL20" s="32" t="s">
        <v>197</v>
      </c>
      <c r="AM20" s="32" t="s">
        <v>197</v>
      </c>
      <c r="AN20" s="32" t="s">
        <v>197</v>
      </c>
      <c r="AO20" s="51" t="s">
        <v>197</v>
      </c>
      <c r="AP20" s="31"/>
      <c r="AQ20" s="33"/>
      <c r="AR20" s="31"/>
      <c r="AS20" s="51"/>
      <c r="AT20" s="31" t="s">
        <v>182</v>
      </c>
      <c r="AU20" s="32" t="s">
        <v>182</v>
      </c>
      <c r="AV20" s="32"/>
      <c r="AW20" s="32" t="s">
        <v>182</v>
      </c>
      <c r="AX20" s="32" t="s">
        <v>182</v>
      </c>
      <c r="AY20" s="32" t="s">
        <v>182</v>
      </c>
      <c r="AZ20" s="32" t="s">
        <v>182</v>
      </c>
      <c r="BA20" s="32" t="s">
        <v>182</v>
      </c>
      <c r="BB20" s="32" t="s">
        <v>182</v>
      </c>
      <c r="BC20" s="32"/>
      <c r="BD20" s="63"/>
      <c r="BE20" s="33" t="s">
        <v>182</v>
      </c>
      <c r="BF20" s="37"/>
    </row>
    <row r="21" spans="1:58" ht="69" customHeight="1" x14ac:dyDescent="0.25">
      <c r="A21" s="31" t="s">
        <v>41</v>
      </c>
      <c r="B21" s="32" t="s">
        <v>48</v>
      </c>
      <c r="C21" s="32" t="s">
        <v>49</v>
      </c>
      <c r="D21" s="33" t="s">
        <v>50</v>
      </c>
      <c r="E21" s="86">
        <v>51.934699999999999</v>
      </c>
      <c r="F21" s="87">
        <v>4.9356299999999997</v>
      </c>
      <c r="G21" s="31">
        <v>1200</v>
      </c>
      <c r="H21" s="34"/>
      <c r="I21" s="33" t="s">
        <v>173</v>
      </c>
      <c r="J21" s="37"/>
      <c r="K21" s="31" t="s">
        <v>223</v>
      </c>
      <c r="L21" s="35" t="s">
        <v>295</v>
      </c>
      <c r="M21" s="33" t="s">
        <v>196</v>
      </c>
      <c r="N21" s="31">
        <v>6</v>
      </c>
      <c r="O21" s="33" t="s">
        <v>224</v>
      </c>
      <c r="P21" s="61" t="s">
        <v>183</v>
      </c>
      <c r="Q21" s="62" t="s">
        <v>204</v>
      </c>
      <c r="R21" s="61" t="s">
        <v>205</v>
      </c>
      <c r="S21" s="63" t="s">
        <v>292</v>
      </c>
      <c r="T21" s="63" t="s">
        <v>296</v>
      </c>
      <c r="U21" s="63">
        <v>60</v>
      </c>
      <c r="V21" s="62">
        <f t="shared" si="1"/>
        <v>360</v>
      </c>
      <c r="W21" s="61" t="s">
        <v>300</v>
      </c>
      <c r="X21" s="32" t="s">
        <v>196</v>
      </c>
      <c r="Y21" s="101">
        <f>2/(40/60)</f>
        <v>3</v>
      </c>
      <c r="Z21" s="31"/>
      <c r="AA21" s="32" t="s">
        <v>305</v>
      </c>
      <c r="AB21" s="32" t="s">
        <v>306</v>
      </c>
      <c r="AC21" s="36" t="s">
        <v>307</v>
      </c>
      <c r="AD21" s="51" t="s">
        <v>183</v>
      </c>
      <c r="AE21" s="31" t="s">
        <v>313</v>
      </c>
      <c r="AF21" s="32" t="s">
        <v>314</v>
      </c>
      <c r="AG21" s="36"/>
      <c r="AH21" s="32"/>
      <c r="AI21" s="33"/>
      <c r="AJ21" s="31" t="s">
        <v>196</v>
      </c>
      <c r="AK21" s="32" t="s">
        <v>197</v>
      </c>
      <c r="AL21" s="32" t="s">
        <v>197</v>
      </c>
      <c r="AM21" s="32" t="s">
        <v>197</v>
      </c>
      <c r="AN21" s="32" t="s">
        <v>197</v>
      </c>
      <c r="AO21" s="51" t="s">
        <v>197</v>
      </c>
      <c r="AP21" s="31"/>
      <c r="AQ21" s="33"/>
      <c r="AR21" s="61" t="s">
        <v>195</v>
      </c>
      <c r="AS21" s="95" t="s">
        <v>387</v>
      </c>
      <c r="AT21" s="31" t="s">
        <v>182</v>
      </c>
      <c r="AU21" s="32" t="s">
        <v>182</v>
      </c>
      <c r="AV21" s="32"/>
      <c r="AW21" s="32" t="s">
        <v>182</v>
      </c>
      <c r="AX21" s="32" t="s">
        <v>182</v>
      </c>
      <c r="AY21" s="32" t="s">
        <v>182</v>
      </c>
      <c r="AZ21" s="32" t="s">
        <v>182</v>
      </c>
      <c r="BA21" s="32" t="s">
        <v>182</v>
      </c>
      <c r="BB21" s="32" t="s">
        <v>182</v>
      </c>
      <c r="BC21" s="32"/>
      <c r="BD21" s="63"/>
      <c r="BE21" s="33" t="s">
        <v>182</v>
      </c>
      <c r="BF21" s="37"/>
    </row>
    <row r="22" spans="1:58" ht="69" customHeight="1" x14ac:dyDescent="0.25">
      <c r="A22" s="31" t="s">
        <v>41</v>
      </c>
      <c r="B22" s="32" t="s">
        <v>51</v>
      </c>
      <c r="C22" s="32" t="s">
        <v>52</v>
      </c>
      <c r="D22" s="33" t="s">
        <v>53</v>
      </c>
      <c r="E22" s="86">
        <v>51.957329999999999</v>
      </c>
      <c r="F22" s="87">
        <v>5.0352199999999998</v>
      </c>
      <c r="G22" s="31">
        <v>2000</v>
      </c>
      <c r="H22" s="34"/>
      <c r="I22" s="33" t="s">
        <v>173</v>
      </c>
      <c r="J22" s="37"/>
      <c r="K22" s="31" t="s">
        <v>223</v>
      </c>
      <c r="L22" s="35" t="s">
        <v>290</v>
      </c>
      <c r="M22" s="33" t="s">
        <v>195</v>
      </c>
      <c r="N22" s="31">
        <v>8</v>
      </c>
      <c r="O22" s="33" t="s">
        <v>224</v>
      </c>
      <c r="P22" s="61" t="s">
        <v>183</v>
      </c>
      <c r="Q22" s="62" t="s">
        <v>204</v>
      </c>
      <c r="R22" s="61" t="s">
        <v>205</v>
      </c>
      <c r="S22" s="63" t="s">
        <v>292</v>
      </c>
      <c r="T22" s="63" t="s">
        <v>297</v>
      </c>
      <c r="U22" s="63">
        <v>60</v>
      </c>
      <c r="V22" s="62">
        <f t="shared" si="1"/>
        <v>480</v>
      </c>
      <c r="W22" s="61">
        <v>20</v>
      </c>
      <c r="X22" s="32" t="s">
        <v>196</v>
      </c>
      <c r="Y22" s="101">
        <f>1.9/(20/60)</f>
        <v>5.7</v>
      </c>
      <c r="Z22" s="31"/>
      <c r="AA22" s="32" t="s">
        <v>308</v>
      </c>
      <c r="AB22" s="32" t="s">
        <v>309</v>
      </c>
      <c r="AC22" s="36" t="s">
        <v>310</v>
      </c>
      <c r="AD22" s="51" t="s">
        <v>183</v>
      </c>
      <c r="AE22" s="31" t="s">
        <v>313</v>
      </c>
      <c r="AF22" s="32" t="s">
        <v>314</v>
      </c>
      <c r="AG22" s="36"/>
      <c r="AH22" s="32"/>
      <c r="AI22" s="33"/>
      <c r="AJ22" s="31" t="s">
        <v>196</v>
      </c>
      <c r="AK22" s="32" t="s">
        <v>197</v>
      </c>
      <c r="AL22" s="32" t="s">
        <v>197</v>
      </c>
      <c r="AM22" s="32" t="s">
        <v>197</v>
      </c>
      <c r="AN22" s="32" t="s">
        <v>197</v>
      </c>
      <c r="AO22" s="51" t="s">
        <v>197</v>
      </c>
      <c r="AP22" s="31"/>
      <c r="AQ22" s="33"/>
      <c r="AR22" s="31"/>
      <c r="AS22" s="51"/>
      <c r="AT22" s="31" t="s">
        <v>182</v>
      </c>
      <c r="AU22" s="32" t="s">
        <v>182</v>
      </c>
      <c r="AV22" s="32"/>
      <c r="AW22" s="32" t="s">
        <v>182</v>
      </c>
      <c r="AX22" s="32" t="s">
        <v>182</v>
      </c>
      <c r="AY22" s="32" t="s">
        <v>182</v>
      </c>
      <c r="AZ22" s="32" t="s">
        <v>182</v>
      </c>
      <c r="BA22" s="32" t="s">
        <v>182</v>
      </c>
      <c r="BB22" s="32" t="s">
        <v>182</v>
      </c>
      <c r="BC22" s="32"/>
      <c r="BD22" s="63"/>
      <c r="BE22" s="33" t="s">
        <v>182</v>
      </c>
      <c r="BF22" s="37"/>
    </row>
    <row r="23" spans="1:58" ht="69" customHeight="1" x14ac:dyDescent="0.25">
      <c r="A23" s="31" t="s">
        <v>41</v>
      </c>
      <c r="B23" s="32" t="s">
        <v>54</v>
      </c>
      <c r="C23" s="32" t="s">
        <v>55</v>
      </c>
      <c r="D23" s="33" t="s">
        <v>17</v>
      </c>
      <c r="E23" s="86">
        <v>51.936100000000003</v>
      </c>
      <c r="F23" s="87">
        <v>4.8046499999999996</v>
      </c>
      <c r="G23" s="31">
        <v>3000</v>
      </c>
      <c r="H23" s="34"/>
      <c r="I23" s="33" t="s">
        <v>173</v>
      </c>
      <c r="J23" s="37"/>
      <c r="K23" s="31" t="s">
        <v>223</v>
      </c>
      <c r="L23" s="35" t="s">
        <v>290</v>
      </c>
      <c r="M23" s="33" t="s">
        <v>195</v>
      </c>
      <c r="N23" s="31">
        <v>16</v>
      </c>
      <c r="O23" s="33" t="s">
        <v>298</v>
      </c>
      <c r="P23" s="61" t="s">
        <v>183</v>
      </c>
      <c r="Q23" s="62" t="s">
        <v>204</v>
      </c>
      <c r="R23" s="61" t="s">
        <v>205</v>
      </c>
      <c r="S23" s="63" t="s">
        <v>292</v>
      </c>
      <c r="T23" s="63" t="s">
        <v>299</v>
      </c>
      <c r="U23" s="64">
        <v>42</v>
      </c>
      <c r="V23" s="99">
        <f t="shared" si="1"/>
        <v>672</v>
      </c>
      <c r="W23" s="61" t="s">
        <v>301</v>
      </c>
      <c r="X23" s="32" t="s">
        <v>182</v>
      </c>
      <c r="Y23" s="101">
        <f>1.8/(13/60)</f>
        <v>8.3076923076923084</v>
      </c>
      <c r="Z23" s="31"/>
      <c r="AA23" s="32">
        <v>2</v>
      </c>
      <c r="AB23" s="32" t="s">
        <v>311</v>
      </c>
      <c r="AC23" s="36" t="s">
        <v>312</v>
      </c>
      <c r="AD23" s="51" t="s">
        <v>183</v>
      </c>
      <c r="AE23" s="31" t="s">
        <v>313</v>
      </c>
      <c r="AF23" s="32" t="s">
        <v>314</v>
      </c>
      <c r="AG23" s="36"/>
      <c r="AH23" s="32"/>
      <c r="AI23" s="33"/>
      <c r="AJ23" s="31" t="s">
        <v>196</v>
      </c>
      <c r="AK23" s="32" t="s">
        <v>197</v>
      </c>
      <c r="AL23" s="32" t="s">
        <v>197</v>
      </c>
      <c r="AM23" s="32" t="s">
        <v>197</v>
      </c>
      <c r="AN23" s="32" t="s">
        <v>197</v>
      </c>
      <c r="AO23" s="51" t="s">
        <v>197</v>
      </c>
      <c r="AP23" s="31"/>
      <c r="AQ23" s="33" t="s">
        <v>316</v>
      </c>
      <c r="AR23" s="31"/>
      <c r="AS23" s="51"/>
      <c r="AT23" s="31" t="s">
        <v>182</v>
      </c>
      <c r="AU23" s="32" t="s">
        <v>182</v>
      </c>
      <c r="AV23" s="32"/>
      <c r="AW23" s="32" t="s">
        <v>182</v>
      </c>
      <c r="AX23" s="32" t="s">
        <v>182</v>
      </c>
      <c r="AY23" s="32" t="s">
        <v>182</v>
      </c>
      <c r="AZ23" s="32" t="s">
        <v>182</v>
      </c>
      <c r="BA23" s="32" t="s">
        <v>182</v>
      </c>
      <c r="BB23" s="32" t="s">
        <v>182</v>
      </c>
      <c r="BC23" s="32"/>
      <c r="BD23" s="63"/>
      <c r="BE23" s="33" t="s">
        <v>182</v>
      </c>
      <c r="BF23" s="37"/>
    </row>
    <row r="24" spans="1:58" ht="69" customHeight="1" x14ac:dyDescent="0.25">
      <c r="A24" s="24" t="s">
        <v>62</v>
      </c>
      <c r="B24" s="25" t="s">
        <v>56</v>
      </c>
      <c r="C24" s="25" t="s">
        <v>57</v>
      </c>
      <c r="D24" s="26" t="s">
        <v>58</v>
      </c>
      <c r="E24" s="88">
        <v>52.745379999999997</v>
      </c>
      <c r="F24" s="89">
        <v>5.2484099999999998</v>
      </c>
      <c r="G24" s="24">
        <v>4000</v>
      </c>
      <c r="H24" s="27"/>
      <c r="I24" s="26" t="s">
        <v>0</v>
      </c>
      <c r="J24" s="30"/>
      <c r="K24" s="24" t="s">
        <v>318</v>
      </c>
      <c r="L24" s="28" t="s">
        <v>319</v>
      </c>
      <c r="M24" s="26" t="s">
        <v>194</v>
      </c>
      <c r="N24" s="24">
        <v>23</v>
      </c>
      <c r="O24" s="26" t="s">
        <v>224</v>
      </c>
      <c r="P24" s="24" t="s">
        <v>320</v>
      </c>
      <c r="Q24" s="52" t="s">
        <v>321</v>
      </c>
      <c r="R24" s="24" t="s">
        <v>246</v>
      </c>
      <c r="S24" s="25" t="s">
        <v>206</v>
      </c>
      <c r="T24" s="25" t="s">
        <v>322</v>
      </c>
      <c r="U24" s="25">
        <v>75</v>
      </c>
      <c r="V24" s="100">
        <f>U24*N24</f>
        <v>1725</v>
      </c>
      <c r="W24" s="24" t="s">
        <v>323</v>
      </c>
      <c r="X24" s="25" t="s">
        <v>182</v>
      </c>
      <c r="Y24" s="105">
        <f>(75/28)/(18/60)</f>
        <v>8.9285714285714288</v>
      </c>
      <c r="Z24" s="24" t="s">
        <v>331</v>
      </c>
      <c r="AA24" s="25" t="s">
        <v>332</v>
      </c>
      <c r="AB24" s="57">
        <v>20000</v>
      </c>
      <c r="AC24" s="25" t="s">
        <v>333</v>
      </c>
      <c r="AD24" s="26" t="s">
        <v>334</v>
      </c>
      <c r="AE24" s="24" t="s">
        <v>336</v>
      </c>
      <c r="AF24" s="25" t="s">
        <v>337</v>
      </c>
      <c r="AG24" s="25" t="s">
        <v>338</v>
      </c>
      <c r="AH24" s="25"/>
      <c r="AI24" s="26" t="s">
        <v>182</v>
      </c>
      <c r="AJ24" s="24" t="s">
        <v>182</v>
      </c>
      <c r="AK24" s="25"/>
      <c r="AL24" s="25"/>
      <c r="AM24" s="25"/>
      <c r="AN24" s="25"/>
      <c r="AO24" s="52"/>
      <c r="AP24" s="24"/>
      <c r="AQ24" s="26"/>
      <c r="AR24" s="24"/>
      <c r="AS24" s="26"/>
      <c r="AT24" s="24"/>
      <c r="AU24" s="25"/>
      <c r="AV24" s="25"/>
      <c r="AW24" s="25"/>
      <c r="AX24" s="25"/>
      <c r="AY24" s="25"/>
      <c r="AZ24" s="25"/>
      <c r="BA24" s="25"/>
      <c r="BB24" s="25"/>
      <c r="BC24" s="25"/>
      <c r="BD24" s="59"/>
      <c r="BE24" s="26"/>
      <c r="BF24" s="30"/>
    </row>
    <row r="25" spans="1:58" ht="69" customHeight="1" x14ac:dyDescent="0.25">
      <c r="A25" s="24" t="s">
        <v>62</v>
      </c>
      <c r="B25" s="25" t="s">
        <v>59</v>
      </c>
      <c r="C25" s="25" t="s">
        <v>60</v>
      </c>
      <c r="D25" s="26" t="s">
        <v>61</v>
      </c>
      <c r="E25" s="88">
        <v>52.501910000000002</v>
      </c>
      <c r="F25" s="89">
        <v>4.6177200000000003</v>
      </c>
      <c r="G25" s="24">
        <v>6000</v>
      </c>
      <c r="H25" s="27"/>
      <c r="I25" s="26" t="s">
        <v>0</v>
      </c>
      <c r="J25" s="78"/>
      <c r="K25" s="24" t="s">
        <v>324</v>
      </c>
      <c r="L25" s="28" t="s">
        <v>325</v>
      </c>
      <c r="M25" s="26" t="s">
        <v>182</v>
      </c>
      <c r="N25" s="24">
        <v>4</v>
      </c>
      <c r="O25" s="26" t="s">
        <v>224</v>
      </c>
      <c r="P25" s="24" t="s">
        <v>326</v>
      </c>
      <c r="Q25" s="26" t="s">
        <v>327</v>
      </c>
      <c r="R25" s="24" t="s">
        <v>246</v>
      </c>
      <c r="S25" s="25" t="s">
        <v>328</v>
      </c>
      <c r="T25" s="25" t="s">
        <v>330</v>
      </c>
      <c r="U25" s="25">
        <v>225</v>
      </c>
      <c r="V25" s="100">
        <f>U25*N25</f>
        <v>900</v>
      </c>
      <c r="W25" s="24" t="s">
        <v>329</v>
      </c>
      <c r="X25" s="25" t="s">
        <v>182</v>
      </c>
      <c r="Y25" s="105">
        <f>(225/32)/(6/60)</f>
        <v>70.3125</v>
      </c>
      <c r="Z25" s="24" t="s">
        <v>335</v>
      </c>
      <c r="AA25" s="25"/>
      <c r="AB25" s="25"/>
      <c r="AC25" s="25"/>
      <c r="AD25" s="26"/>
      <c r="AE25" s="24"/>
      <c r="AF25" s="25"/>
      <c r="AG25" s="25"/>
      <c r="AH25" s="25"/>
      <c r="AI25" s="26" t="s">
        <v>182</v>
      </c>
      <c r="AJ25" s="24" t="s">
        <v>182</v>
      </c>
      <c r="AK25" s="25"/>
      <c r="AL25" s="25"/>
      <c r="AM25" s="25"/>
      <c r="AN25" s="25"/>
      <c r="AO25" s="52"/>
      <c r="AP25" s="24"/>
      <c r="AQ25" s="26"/>
      <c r="AR25" s="24"/>
      <c r="AS25" s="26"/>
      <c r="AT25" s="24"/>
      <c r="AU25" s="25"/>
      <c r="AV25" s="25"/>
      <c r="AW25" s="25"/>
      <c r="AX25" s="25"/>
      <c r="AY25" s="25"/>
      <c r="AZ25" s="25"/>
      <c r="BA25" s="72"/>
      <c r="BB25" s="72"/>
      <c r="BC25" s="72"/>
      <c r="BD25" s="110"/>
      <c r="BE25" s="26"/>
      <c r="BF25" s="30"/>
    </row>
    <row r="26" spans="1:58" ht="69" customHeight="1" x14ac:dyDescent="0.25">
      <c r="A26" s="31" t="s">
        <v>63</v>
      </c>
      <c r="B26" s="32" t="s">
        <v>64</v>
      </c>
      <c r="C26" s="32" t="s">
        <v>65</v>
      </c>
      <c r="D26" s="33" t="s">
        <v>66</v>
      </c>
      <c r="E26" s="86">
        <v>52.49794</v>
      </c>
      <c r="F26" s="87">
        <v>6.0720999999999998</v>
      </c>
      <c r="G26" s="31" t="s">
        <v>339</v>
      </c>
      <c r="H26" s="31" t="s">
        <v>339</v>
      </c>
      <c r="I26" s="33" t="s">
        <v>173</v>
      </c>
      <c r="J26" s="37" t="s">
        <v>340</v>
      </c>
      <c r="K26" s="31" t="s">
        <v>341</v>
      </c>
      <c r="L26" s="35" t="s">
        <v>342</v>
      </c>
      <c r="M26" s="33" t="s">
        <v>343</v>
      </c>
      <c r="N26" s="31">
        <v>10</v>
      </c>
      <c r="O26" s="33" t="s">
        <v>224</v>
      </c>
      <c r="P26" s="31" t="s">
        <v>355</v>
      </c>
      <c r="Q26" s="33" t="s">
        <v>356</v>
      </c>
      <c r="R26" s="31" t="s">
        <v>357</v>
      </c>
      <c r="S26" s="32" t="s">
        <v>358</v>
      </c>
      <c r="T26" s="32" t="s">
        <v>359</v>
      </c>
      <c r="U26" s="32" t="s">
        <v>360</v>
      </c>
      <c r="V26" s="95">
        <v>480</v>
      </c>
      <c r="W26" s="31" t="s">
        <v>381</v>
      </c>
      <c r="X26" s="32" t="s">
        <v>382</v>
      </c>
      <c r="Y26" s="101">
        <f>2/(23/60)</f>
        <v>5.2173913043478262</v>
      </c>
      <c r="Z26" s="31" t="s">
        <v>383</v>
      </c>
      <c r="AA26" s="36" t="s">
        <v>384</v>
      </c>
      <c r="AB26" s="68">
        <v>45000</v>
      </c>
      <c r="AC26" s="32" t="s">
        <v>385</v>
      </c>
      <c r="AD26" s="33"/>
      <c r="AE26" s="31" t="s">
        <v>400</v>
      </c>
      <c r="AF26" s="32" t="s">
        <v>401</v>
      </c>
      <c r="AG26" s="32" t="s">
        <v>402</v>
      </c>
      <c r="AH26" s="32" t="s">
        <v>284</v>
      </c>
      <c r="AI26" s="33" t="s">
        <v>197</v>
      </c>
      <c r="AJ26" s="31" t="s">
        <v>413</v>
      </c>
      <c r="AK26" s="32" t="s">
        <v>197</v>
      </c>
      <c r="AL26" s="32" t="s">
        <v>197</v>
      </c>
      <c r="AM26" s="32" t="s">
        <v>197</v>
      </c>
      <c r="AN26" s="32" t="s">
        <v>182</v>
      </c>
      <c r="AO26" s="33" t="s">
        <v>182</v>
      </c>
      <c r="AP26" s="31" t="s">
        <v>197</v>
      </c>
      <c r="AQ26" s="33" t="s">
        <v>182</v>
      </c>
      <c r="AR26" s="31" t="s">
        <v>182</v>
      </c>
      <c r="AS26" s="33" t="s">
        <v>197</v>
      </c>
      <c r="AT26" s="31" t="s">
        <v>197</v>
      </c>
      <c r="AU26" s="32" t="s">
        <v>426</v>
      </c>
      <c r="AV26" s="32"/>
      <c r="AW26" s="32" t="s">
        <v>197</v>
      </c>
      <c r="AX26" s="32" t="s">
        <v>182</v>
      </c>
      <c r="AY26" s="32" t="s">
        <v>197</v>
      </c>
      <c r="AZ26" s="32" t="s">
        <v>197</v>
      </c>
      <c r="BA26" s="32" t="s">
        <v>197</v>
      </c>
      <c r="BB26" s="32" t="s">
        <v>197</v>
      </c>
      <c r="BC26" s="32" t="s">
        <v>197</v>
      </c>
      <c r="BD26" s="63"/>
      <c r="BE26" s="33" t="s">
        <v>197</v>
      </c>
      <c r="BF26" s="37"/>
    </row>
    <row r="27" spans="1:58" ht="75" x14ac:dyDescent="0.25">
      <c r="A27" s="31" t="s">
        <v>63</v>
      </c>
      <c r="B27" s="32" t="s">
        <v>67</v>
      </c>
      <c r="C27" s="32" t="s">
        <v>68</v>
      </c>
      <c r="D27" s="33" t="s">
        <v>67</v>
      </c>
      <c r="E27" s="86">
        <v>52.127540000000003</v>
      </c>
      <c r="F27" s="87">
        <v>5.1357999999999997</v>
      </c>
      <c r="G27" s="31" t="s">
        <v>344</v>
      </c>
      <c r="H27" s="34"/>
      <c r="I27" s="33" t="s">
        <v>1</v>
      </c>
      <c r="J27" s="37" t="s">
        <v>340</v>
      </c>
      <c r="K27" s="31" t="s">
        <v>345</v>
      </c>
      <c r="L27" s="35" t="s">
        <v>346</v>
      </c>
      <c r="M27" s="33" t="s">
        <v>194</v>
      </c>
      <c r="N27" s="31">
        <v>3</v>
      </c>
      <c r="O27" s="33" t="s">
        <v>224</v>
      </c>
      <c r="P27" s="31" t="s">
        <v>334</v>
      </c>
      <c r="Q27" s="33" t="s">
        <v>361</v>
      </c>
      <c r="R27" s="31" t="s">
        <v>362</v>
      </c>
      <c r="S27" s="32" t="s">
        <v>363</v>
      </c>
      <c r="T27" s="32" t="s">
        <v>364</v>
      </c>
      <c r="U27" s="32" t="s">
        <v>365</v>
      </c>
      <c r="V27" s="95">
        <f>3*66</f>
        <v>198</v>
      </c>
      <c r="W27" s="31" t="s">
        <v>386</v>
      </c>
      <c r="X27" s="32" t="s">
        <v>182</v>
      </c>
      <c r="Y27" s="101">
        <f>1.7/(13/60)</f>
        <v>7.8461538461538458</v>
      </c>
      <c r="Z27" s="31" t="s">
        <v>387</v>
      </c>
      <c r="AA27" s="36" t="s">
        <v>388</v>
      </c>
      <c r="AB27" s="69" t="s">
        <v>333</v>
      </c>
      <c r="AC27" s="32" t="s">
        <v>387</v>
      </c>
      <c r="AD27" s="33"/>
      <c r="AE27" s="31" t="s">
        <v>403</v>
      </c>
      <c r="AF27" s="32" t="s">
        <v>404</v>
      </c>
      <c r="AG27" s="70" t="s">
        <v>405</v>
      </c>
      <c r="AH27" s="32" t="s">
        <v>406</v>
      </c>
      <c r="AI27" s="33" t="s">
        <v>407</v>
      </c>
      <c r="AJ27" s="31" t="s">
        <v>194</v>
      </c>
      <c r="AK27" s="32" t="s">
        <v>414</v>
      </c>
      <c r="AL27" s="32" t="s">
        <v>415</v>
      </c>
      <c r="AM27" s="32" t="s">
        <v>416</v>
      </c>
      <c r="AN27" s="32" t="s">
        <v>182</v>
      </c>
      <c r="AO27" s="33" t="s">
        <v>417</v>
      </c>
      <c r="AP27" s="71" t="s">
        <v>333</v>
      </c>
      <c r="AQ27" s="33" t="s">
        <v>423</v>
      </c>
      <c r="AR27" s="31" t="s">
        <v>182</v>
      </c>
      <c r="AS27" s="33" t="s">
        <v>197</v>
      </c>
      <c r="AT27" s="31" t="s">
        <v>197</v>
      </c>
      <c r="AU27" s="32" t="s">
        <v>426</v>
      </c>
      <c r="AV27" s="32"/>
      <c r="AW27" s="32" t="s">
        <v>197</v>
      </c>
      <c r="AX27" s="32" t="s">
        <v>197</v>
      </c>
      <c r="AY27" s="32" t="s">
        <v>197</v>
      </c>
      <c r="AZ27" s="32" t="s">
        <v>197</v>
      </c>
      <c r="BA27" s="73" t="s">
        <v>197</v>
      </c>
      <c r="BB27" s="32" t="s">
        <v>197</v>
      </c>
      <c r="BC27" s="32" t="s">
        <v>197</v>
      </c>
      <c r="BD27" s="63"/>
      <c r="BE27" s="74" t="s">
        <v>197</v>
      </c>
      <c r="BF27" s="37" t="s">
        <v>427</v>
      </c>
    </row>
    <row r="28" spans="1:58" ht="75" x14ac:dyDescent="0.25">
      <c r="A28" s="31" t="s">
        <v>63</v>
      </c>
      <c r="B28" s="32" t="s">
        <v>69</v>
      </c>
      <c r="C28" s="32" t="s">
        <v>70</v>
      </c>
      <c r="D28" s="33" t="s">
        <v>71</v>
      </c>
      <c r="E28" s="86">
        <v>52.477530000000002</v>
      </c>
      <c r="F28" s="87">
        <v>6.5370999999999997</v>
      </c>
      <c r="G28" s="31">
        <v>250</v>
      </c>
      <c r="H28" s="34"/>
      <c r="I28" s="33" t="s">
        <v>1</v>
      </c>
      <c r="J28" s="37" t="s">
        <v>340</v>
      </c>
      <c r="K28" s="31" t="s">
        <v>347</v>
      </c>
      <c r="L28" s="35" t="s">
        <v>348</v>
      </c>
      <c r="M28" s="33" t="s">
        <v>194</v>
      </c>
      <c r="N28" s="31">
        <v>8</v>
      </c>
      <c r="O28" s="33" t="s">
        <v>224</v>
      </c>
      <c r="P28" s="31" t="s">
        <v>183</v>
      </c>
      <c r="Q28" s="33" t="s">
        <v>366</v>
      </c>
      <c r="R28" s="31" t="s">
        <v>367</v>
      </c>
      <c r="S28" s="32" t="s">
        <v>368</v>
      </c>
      <c r="T28" s="32" t="s">
        <v>369</v>
      </c>
      <c r="U28" s="32" t="s">
        <v>370</v>
      </c>
      <c r="V28" s="101">
        <f>8*7.44</f>
        <v>59.52</v>
      </c>
      <c r="W28" s="31" t="s">
        <v>389</v>
      </c>
      <c r="X28" s="32" t="s">
        <v>182</v>
      </c>
      <c r="Y28" s="101">
        <f>2/(18/60)</f>
        <v>6.666666666666667</v>
      </c>
      <c r="Z28" s="31" t="s">
        <v>383</v>
      </c>
      <c r="AA28" s="36" t="s">
        <v>390</v>
      </c>
      <c r="AB28" s="32"/>
      <c r="AC28" s="32"/>
      <c r="AD28" s="33"/>
      <c r="AE28" s="31" t="s">
        <v>197</v>
      </c>
      <c r="AF28" s="32"/>
      <c r="AG28" s="32"/>
      <c r="AH28" s="32" t="s">
        <v>284</v>
      </c>
      <c r="AI28" s="33" t="s">
        <v>197</v>
      </c>
      <c r="AJ28" s="31" t="s">
        <v>413</v>
      </c>
      <c r="AK28" s="32"/>
      <c r="AL28" s="32" t="s">
        <v>197</v>
      </c>
      <c r="AM28" s="32"/>
      <c r="AN28" s="32" t="s">
        <v>182</v>
      </c>
      <c r="AO28" s="33" t="s">
        <v>417</v>
      </c>
      <c r="AP28" s="31"/>
      <c r="AQ28" s="33" t="s">
        <v>182</v>
      </c>
      <c r="AR28" s="31" t="s">
        <v>182</v>
      </c>
      <c r="AS28" s="33" t="s">
        <v>197</v>
      </c>
      <c r="AT28" s="31" t="s">
        <v>197</v>
      </c>
      <c r="AU28" s="32" t="s">
        <v>426</v>
      </c>
      <c r="AV28" s="32"/>
      <c r="AW28" s="32" t="s">
        <v>197</v>
      </c>
      <c r="AX28" s="32" t="s">
        <v>197</v>
      </c>
      <c r="AY28" s="32" t="s">
        <v>197</v>
      </c>
      <c r="AZ28" s="32" t="s">
        <v>197</v>
      </c>
      <c r="BA28" s="32" t="s">
        <v>197</v>
      </c>
      <c r="BB28" s="32" t="s">
        <v>197</v>
      </c>
      <c r="BC28" s="32" t="s">
        <v>197</v>
      </c>
      <c r="BD28" s="63"/>
      <c r="BE28" s="51" t="s">
        <v>197</v>
      </c>
      <c r="BF28" s="37"/>
    </row>
    <row r="29" spans="1:58" ht="56.25" x14ac:dyDescent="0.25">
      <c r="A29" s="31" t="s">
        <v>63</v>
      </c>
      <c r="B29" s="32" t="s">
        <v>72</v>
      </c>
      <c r="C29" s="32" t="s">
        <v>73</v>
      </c>
      <c r="D29" s="33" t="s">
        <v>72</v>
      </c>
      <c r="E29" s="86">
        <v>52.241021000000003</v>
      </c>
      <c r="F29" s="87">
        <v>5.2006819999999996</v>
      </c>
      <c r="G29" s="31">
        <v>560</v>
      </c>
      <c r="H29" s="34"/>
      <c r="I29" s="33" t="s">
        <v>1</v>
      </c>
      <c r="J29" s="37" t="s">
        <v>340</v>
      </c>
      <c r="K29" s="31" t="s">
        <v>349</v>
      </c>
      <c r="L29" s="35" t="s">
        <v>350</v>
      </c>
      <c r="M29" s="33" t="s">
        <v>194</v>
      </c>
      <c r="N29" s="31">
        <v>4</v>
      </c>
      <c r="O29" s="33" t="s">
        <v>224</v>
      </c>
      <c r="P29" s="31" t="s">
        <v>371</v>
      </c>
      <c r="Q29" s="33" t="s">
        <v>372</v>
      </c>
      <c r="R29" s="31" t="s">
        <v>367</v>
      </c>
      <c r="S29" s="32" t="s">
        <v>368</v>
      </c>
      <c r="T29" s="32" t="s">
        <v>373</v>
      </c>
      <c r="U29" s="32" t="s">
        <v>374</v>
      </c>
      <c r="V29" s="95">
        <f>14*4</f>
        <v>56</v>
      </c>
      <c r="W29" s="31" t="s">
        <v>391</v>
      </c>
      <c r="X29" s="32" t="s">
        <v>182</v>
      </c>
      <c r="Y29" s="101">
        <f>2/(15/60)</f>
        <v>8</v>
      </c>
      <c r="Z29" s="31" t="s">
        <v>383</v>
      </c>
      <c r="AA29" s="36" t="s">
        <v>392</v>
      </c>
      <c r="AB29" s="69" t="s">
        <v>333</v>
      </c>
      <c r="AC29" s="69" t="s">
        <v>333</v>
      </c>
      <c r="AD29" s="33"/>
      <c r="AE29" s="31" t="s">
        <v>408</v>
      </c>
      <c r="AF29" s="32" t="s">
        <v>401</v>
      </c>
      <c r="AG29" s="32" t="s">
        <v>409</v>
      </c>
      <c r="AH29" s="32" t="s">
        <v>284</v>
      </c>
      <c r="AI29" s="33" t="s">
        <v>197</v>
      </c>
      <c r="AJ29" s="31" t="s">
        <v>418</v>
      </c>
      <c r="AK29" s="32" t="s">
        <v>419</v>
      </c>
      <c r="AL29" s="32" t="s">
        <v>420</v>
      </c>
      <c r="AM29" s="69" t="s">
        <v>333</v>
      </c>
      <c r="AN29" s="32" t="s">
        <v>182</v>
      </c>
      <c r="AO29" s="33" t="s">
        <v>417</v>
      </c>
      <c r="AP29" s="71" t="s">
        <v>333</v>
      </c>
      <c r="AQ29" s="33" t="s">
        <v>182</v>
      </c>
      <c r="AR29" s="31" t="s">
        <v>182</v>
      </c>
      <c r="AS29" s="33" t="s">
        <v>197</v>
      </c>
      <c r="AT29" s="31" t="s">
        <v>197</v>
      </c>
      <c r="AU29" s="32" t="s">
        <v>426</v>
      </c>
      <c r="AV29" s="32"/>
      <c r="AW29" s="32" t="s">
        <v>197</v>
      </c>
      <c r="AX29" s="32" t="s">
        <v>197</v>
      </c>
      <c r="AY29" s="32" t="s">
        <v>197</v>
      </c>
      <c r="AZ29" s="32" t="s">
        <v>197</v>
      </c>
      <c r="BA29" s="32" t="s">
        <v>197</v>
      </c>
      <c r="BB29" s="32" t="s">
        <v>197</v>
      </c>
      <c r="BC29" s="32" t="s">
        <v>197</v>
      </c>
      <c r="BD29" s="63"/>
      <c r="BE29" s="51" t="s">
        <v>197</v>
      </c>
      <c r="BF29" s="37"/>
    </row>
    <row r="30" spans="1:58" ht="75" x14ac:dyDescent="0.25">
      <c r="A30" s="31" t="s">
        <v>63</v>
      </c>
      <c r="B30" s="32" t="s">
        <v>74</v>
      </c>
      <c r="C30" s="32" t="s">
        <v>75</v>
      </c>
      <c r="D30" s="33" t="s">
        <v>76</v>
      </c>
      <c r="E30" s="86">
        <v>52.517539999999997</v>
      </c>
      <c r="F30" s="87">
        <v>6.1975699999999998</v>
      </c>
      <c r="G30" s="31">
        <v>240</v>
      </c>
      <c r="H30" s="34"/>
      <c r="I30" s="33" t="s">
        <v>173</v>
      </c>
      <c r="J30" s="37" t="s">
        <v>340</v>
      </c>
      <c r="K30" s="31" t="s">
        <v>351</v>
      </c>
      <c r="L30" s="35" t="s">
        <v>352</v>
      </c>
      <c r="M30" s="33" t="s">
        <v>194</v>
      </c>
      <c r="N30" s="31" t="s">
        <v>375</v>
      </c>
      <c r="O30" s="33" t="s">
        <v>224</v>
      </c>
      <c r="P30" s="31" t="s">
        <v>371</v>
      </c>
      <c r="Q30" s="33" t="s">
        <v>372</v>
      </c>
      <c r="R30" s="31" t="s">
        <v>376</v>
      </c>
      <c r="S30" s="32" t="s">
        <v>358</v>
      </c>
      <c r="T30" s="92" t="s">
        <v>538</v>
      </c>
      <c r="U30" s="63" t="s">
        <v>377</v>
      </c>
      <c r="V30" s="95">
        <f>22.5*4</f>
        <v>90</v>
      </c>
      <c r="W30" s="63" t="s">
        <v>378</v>
      </c>
      <c r="X30" s="93" t="s">
        <v>539</v>
      </c>
      <c r="Y30" s="101">
        <f>2.5/(34/60)</f>
        <v>4.4117647058823533</v>
      </c>
      <c r="Z30" s="61" t="s">
        <v>393</v>
      </c>
      <c r="AA30" s="36" t="s">
        <v>394</v>
      </c>
      <c r="AB30" s="32"/>
      <c r="AC30" s="32" t="s">
        <v>395</v>
      </c>
      <c r="AD30" s="33"/>
      <c r="AE30" s="31" t="s">
        <v>410</v>
      </c>
      <c r="AF30" s="32" t="s">
        <v>401</v>
      </c>
      <c r="AG30" s="32"/>
      <c r="AH30" s="32" t="s">
        <v>284</v>
      </c>
      <c r="AI30" s="33" t="s">
        <v>197</v>
      </c>
      <c r="AJ30" s="31" t="s">
        <v>413</v>
      </c>
      <c r="AK30" s="32" t="s">
        <v>419</v>
      </c>
      <c r="AL30" s="32" t="s">
        <v>197</v>
      </c>
      <c r="AM30" s="32"/>
      <c r="AN30" s="32" t="s">
        <v>182</v>
      </c>
      <c r="AO30" s="33" t="s">
        <v>421</v>
      </c>
      <c r="AP30" s="31"/>
      <c r="AQ30" s="33" t="s">
        <v>424</v>
      </c>
      <c r="AR30" s="31" t="s">
        <v>182</v>
      </c>
      <c r="AS30" s="33" t="s">
        <v>197</v>
      </c>
      <c r="AT30" s="31" t="s">
        <v>197</v>
      </c>
      <c r="AU30" s="32" t="s">
        <v>426</v>
      </c>
      <c r="AV30" s="32"/>
      <c r="AW30" s="32" t="s">
        <v>197</v>
      </c>
      <c r="AX30" s="32" t="s">
        <v>197</v>
      </c>
      <c r="AY30" s="32" t="s">
        <v>197</v>
      </c>
      <c r="AZ30" s="32" t="s">
        <v>197</v>
      </c>
      <c r="BA30" s="32" t="s">
        <v>197</v>
      </c>
      <c r="BB30" s="32" t="s">
        <v>197</v>
      </c>
      <c r="BC30" s="32" t="s">
        <v>197</v>
      </c>
      <c r="BD30" s="63"/>
      <c r="BE30" s="51" t="s">
        <v>197</v>
      </c>
      <c r="BF30" s="37" t="s">
        <v>428</v>
      </c>
    </row>
    <row r="31" spans="1:58" ht="75" x14ac:dyDescent="0.25">
      <c r="A31" s="31" t="s">
        <v>63</v>
      </c>
      <c r="B31" s="32" t="s">
        <v>77</v>
      </c>
      <c r="C31" s="32" t="s">
        <v>78</v>
      </c>
      <c r="D31" s="33" t="s">
        <v>77</v>
      </c>
      <c r="E31" s="86">
        <v>52.097270000000002</v>
      </c>
      <c r="F31" s="87">
        <v>5.2463100000000003</v>
      </c>
      <c r="G31" s="31">
        <v>1150</v>
      </c>
      <c r="H31" s="34"/>
      <c r="I31" s="33" t="s">
        <v>1</v>
      </c>
      <c r="J31" s="37" t="s">
        <v>340</v>
      </c>
      <c r="K31" s="31" t="s">
        <v>353</v>
      </c>
      <c r="L31" s="35" t="s">
        <v>354</v>
      </c>
      <c r="M31" s="33" t="s">
        <v>194</v>
      </c>
      <c r="N31" s="31">
        <v>6</v>
      </c>
      <c r="O31" s="33" t="s">
        <v>224</v>
      </c>
      <c r="P31" s="31" t="s">
        <v>371</v>
      </c>
      <c r="Q31" s="33" t="s">
        <v>372</v>
      </c>
      <c r="R31" s="31" t="s">
        <v>367</v>
      </c>
      <c r="S31" s="32" t="s">
        <v>368</v>
      </c>
      <c r="T31" s="32" t="s">
        <v>379</v>
      </c>
      <c r="U31" s="32" t="s">
        <v>380</v>
      </c>
      <c r="V31" s="95">
        <f>16.4*6</f>
        <v>98.399999999999991</v>
      </c>
      <c r="W31" s="31" t="s">
        <v>396</v>
      </c>
      <c r="X31" s="32" t="s">
        <v>182</v>
      </c>
      <c r="Y31" s="101">
        <f>2/(9/60)</f>
        <v>13.333333333333334</v>
      </c>
      <c r="Z31" s="31" t="s">
        <v>397</v>
      </c>
      <c r="AA31" s="36" t="s">
        <v>398</v>
      </c>
      <c r="AB31" s="69" t="s">
        <v>333</v>
      </c>
      <c r="AC31" s="32" t="s">
        <v>399</v>
      </c>
      <c r="AD31" s="33"/>
      <c r="AE31" s="31" t="s">
        <v>411</v>
      </c>
      <c r="AF31" s="32" t="s">
        <v>412</v>
      </c>
      <c r="AG31" s="32" t="s">
        <v>409</v>
      </c>
      <c r="AH31" s="32" t="s">
        <v>284</v>
      </c>
      <c r="AI31" s="33" t="s">
        <v>407</v>
      </c>
      <c r="AJ31" s="31" t="s">
        <v>422</v>
      </c>
      <c r="AK31" s="32" t="s">
        <v>419</v>
      </c>
      <c r="AL31" s="32" t="s">
        <v>420</v>
      </c>
      <c r="AM31" s="69" t="s">
        <v>333</v>
      </c>
      <c r="AN31" s="32" t="s">
        <v>182</v>
      </c>
      <c r="AO31" s="33" t="s">
        <v>417</v>
      </c>
      <c r="AP31" s="71" t="s">
        <v>425</v>
      </c>
      <c r="AQ31" s="33" t="s">
        <v>182</v>
      </c>
      <c r="AR31" s="31" t="s">
        <v>182</v>
      </c>
      <c r="AS31" s="33" t="s">
        <v>197</v>
      </c>
      <c r="AT31" s="31" t="s">
        <v>197</v>
      </c>
      <c r="AU31" s="32" t="s">
        <v>426</v>
      </c>
      <c r="AV31" s="32"/>
      <c r="AW31" s="32" t="s">
        <v>197</v>
      </c>
      <c r="AX31" s="32" t="s">
        <v>197</v>
      </c>
      <c r="AY31" s="32" t="s">
        <v>197</v>
      </c>
      <c r="AZ31" s="32" t="s">
        <v>197</v>
      </c>
      <c r="BA31" s="32" t="s">
        <v>197</v>
      </c>
      <c r="BB31" s="73" t="s">
        <v>197</v>
      </c>
      <c r="BC31" s="73" t="s">
        <v>197</v>
      </c>
      <c r="BD31" s="111"/>
      <c r="BE31" s="74" t="s">
        <v>197</v>
      </c>
      <c r="BF31" s="37" t="s">
        <v>429</v>
      </c>
    </row>
    <row r="32" spans="1:58" ht="161.25" customHeight="1" x14ac:dyDescent="0.25">
      <c r="A32" s="24" t="s">
        <v>79</v>
      </c>
      <c r="B32" s="25" t="s">
        <v>80</v>
      </c>
      <c r="C32" s="25" t="s">
        <v>535</v>
      </c>
      <c r="D32" s="26" t="s">
        <v>536</v>
      </c>
      <c r="E32" s="88">
        <v>52.34552</v>
      </c>
      <c r="F32" s="89">
        <v>4.62052</v>
      </c>
      <c r="G32" s="24">
        <v>7700</v>
      </c>
      <c r="H32" s="27"/>
      <c r="I32" s="26" t="s">
        <v>172</v>
      </c>
      <c r="J32" s="30"/>
      <c r="K32" s="24" t="s">
        <v>513</v>
      </c>
      <c r="L32" s="28" t="s">
        <v>514</v>
      </c>
      <c r="M32" s="26" t="s">
        <v>196</v>
      </c>
      <c r="N32" s="24">
        <v>40</v>
      </c>
      <c r="O32" s="26" t="s">
        <v>515</v>
      </c>
      <c r="P32" s="24" t="s">
        <v>334</v>
      </c>
      <c r="Q32" s="26" t="s">
        <v>516</v>
      </c>
      <c r="R32" s="24" t="s">
        <v>205</v>
      </c>
      <c r="S32" s="25" t="s">
        <v>520</v>
      </c>
      <c r="T32" s="25" t="s">
        <v>521</v>
      </c>
      <c r="U32" s="25">
        <v>145</v>
      </c>
      <c r="V32" s="85">
        <f t="shared" ref="V32:V33" si="2">U32*N32</f>
        <v>5800</v>
      </c>
      <c r="W32" s="24" t="s">
        <v>523</v>
      </c>
      <c r="X32" s="28" t="s">
        <v>196</v>
      </c>
      <c r="Y32" s="106">
        <f>4/(40/60)</f>
        <v>6</v>
      </c>
      <c r="Z32" s="24" t="s">
        <v>525</v>
      </c>
      <c r="AA32" s="25" t="s">
        <v>526</v>
      </c>
      <c r="AB32" s="25">
        <v>23500</v>
      </c>
      <c r="AC32" s="25" t="s">
        <v>527</v>
      </c>
      <c r="AD32" s="26"/>
      <c r="AE32" s="24"/>
      <c r="AF32" s="25" t="s">
        <v>528</v>
      </c>
      <c r="AG32" s="25" t="s">
        <v>529</v>
      </c>
      <c r="AH32" s="25">
        <v>0.3</v>
      </c>
      <c r="AI32" s="26" t="s">
        <v>194</v>
      </c>
      <c r="AJ32" s="24" t="s">
        <v>196</v>
      </c>
      <c r="AK32" s="25"/>
      <c r="AL32" s="25"/>
      <c r="AM32" s="25"/>
      <c r="AN32" s="25"/>
      <c r="AO32" s="26"/>
      <c r="AP32" s="24"/>
      <c r="AQ32" s="26"/>
      <c r="AR32" s="24" t="s">
        <v>196</v>
      </c>
      <c r="AS32" s="26" t="s">
        <v>333</v>
      </c>
      <c r="AT32" s="24" t="s">
        <v>532</v>
      </c>
      <c r="AU32" s="25" t="s">
        <v>532</v>
      </c>
      <c r="AV32" s="25"/>
      <c r="AW32" s="25"/>
      <c r="AX32" s="25"/>
      <c r="AY32" s="25"/>
      <c r="AZ32" s="25"/>
      <c r="BA32" s="25"/>
      <c r="BB32" s="22"/>
      <c r="BC32" s="22"/>
      <c r="BD32" s="112"/>
      <c r="BE32" s="19"/>
      <c r="BF32" s="30" t="s">
        <v>534</v>
      </c>
    </row>
    <row r="33" spans="1:58" ht="177" customHeight="1" x14ac:dyDescent="0.25">
      <c r="A33" s="24" t="s">
        <v>79</v>
      </c>
      <c r="B33" s="25" t="s">
        <v>81</v>
      </c>
      <c r="C33" s="25" t="s">
        <v>82</v>
      </c>
      <c r="D33" s="26" t="s">
        <v>83</v>
      </c>
      <c r="E33" s="88">
        <v>52.305300000000003</v>
      </c>
      <c r="F33" s="89">
        <v>5.00549</v>
      </c>
      <c r="G33" s="24">
        <v>2850</v>
      </c>
      <c r="H33" s="27"/>
      <c r="I33" s="26" t="s">
        <v>172</v>
      </c>
      <c r="J33" s="30"/>
      <c r="K33" s="24" t="s">
        <v>513</v>
      </c>
      <c r="L33" s="28" t="s">
        <v>517</v>
      </c>
      <c r="M33" s="26" t="s">
        <v>196</v>
      </c>
      <c r="N33" s="24">
        <v>26</v>
      </c>
      <c r="O33" s="26" t="s">
        <v>518</v>
      </c>
      <c r="P33" s="24" t="s">
        <v>334</v>
      </c>
      <c r="Q33" s="26" t="s">
        <v>519</v>
      </c>
      <c r="R33" s="24" t="s">
        <v>205</v>
      </c>
      <c r="S33" s="25" t="s">
        <v>520</v>
      </c>
      <c r="T33" s="25" t="s">
        <v>522</v>
      </c>
      <c r="U33" s="25">
        <v>100</v>
      </c>
      <c r="V33" s="85">
        <f t="shared" si="2"/>
        <v>2600</v>
      </c>
      <c r="W33" s="24" t="s">
        <v>524</v>
      </c>
      <c r="X33" s="28" t="s">
        <v>196</v>
      </c>
      <c r="Y33" s="106">
        <f>4/(40/60)</f>
        <v>6</v>
      </c>
      <c r="Z33" s="24" t="s">
        <v>530</v>
      </c>
      <c r="AA33" s="25">
        <v>2</v>
      </c>
      <c r="AB33" s="25">
        <v>10000</v>
      </c>
      <c r="AC33" s="25" t="s">
        <v>531</v>
      </c>
      <c r="AD33" s="26"/>
      <c r="AE33" s="24"/>
      <c r="AF33" s="25" t="s">
        <v>528</v>
      </c>
      <c r="AG33" s="25" t="s">
        <v>529</v>
      </c>
      <c r="AH33" s="25">
        <v>0.3</v>
      </c>
      <c r="AI33" s="26" t="s">
        <v>194</v>
      </c>
      <c r="AJ33" s="24" t="s">
        <v>196</v>
      </c>
      <c r="AK33" s="25"/>
      <c r="AL33" s="25"/>
      <c r="AM33" s="25"/>
      <c r="AN33" s="25"/>
      <c r="AO33" s="26"/>
      <c r="AP33" s="24"/>
      <c r="AQ33" s="26"/>
      <c r="AR33" s="24" t="s">
        <v>195</v>
      </c>
      <c r="AS33" s="26" t="s">
        <v>533</v>
      </c>
      <c r="AT33" s="24" t="s">
        <v>532</v>
      </c>
      <c r="AU33" s="25" t="s">
        <v>532</v>
      </c>
      <c r="AV33" s="25"/>
      <c r="AW33" s="25"/>
      <c r="AX33" s="25"/>
      <c r="AY33" s="25"/>
      <c r="AZ33" s="25"/>
      <c r="BA33" s="25"/>
      <c r="BB33" s="25"/>
      <c r="BC33" s="25"/>
      <c r="BD33" s="59"/>
      <c r="BE33" s="26"/>
      <c r="BF33" s="30" t="s">
        <v>534</v>
      </c>
    </row>
    <row r="34" spans="1:58" ht="281.25" x14ac:dyDescent="0.25">
      <c r="A34" s="31" t="s">
        <v>167</v>
      </c>
      <c r="B34" s="32" t="s">
        <v>84</v>
      </c>
      <c r="C34" s="32" t="s">
        <v>85</v>
      </c>
      <c r="D34" s="33" t="s">
        <v>86</v>
      </c>
      <c r="E34" s="86">
        <v>53.130470000000003</v>
      </c>
      <c r="F34" s="87">
        <v>6.6221300000000003</v>
      </c>
      <c r="G34" s="31">
        <v>120</v>
      </c>
      <c r="H34" s="34" t="s">
        <v>430</v>
      </c>
      <c r="I34" s="33" t="s">
        <v>0</v>
      </c>
      <c r="J34" s="37"/>
      <c r="K34" s="31" t="s">
        <v>431</v>
      </c>
      <c r="L34" s="35" t="s">
        <v>432</v>
      </c>
      <c r="M34" s="33" t="s">
        <v>196</v>
      </c>
      <c r="N34" s="31">
        <v>6</v>
      </c>
      <c r="O34" s="33" t="s">
        <v>224</v>
      </c>
      <c r="P34" s="31" t="s">
        <v>433</v>
      </c>
      <c r="Q34" s="33" t="s">
        <v>434</v>
      </c>
      <c r="R34" s="31" t="s">
        <v>246</v>
      </c>
      <c r="S34" s="32" t="s">
        <v>328</v>
      </c>
      <c r="T34" s="32" t="s">
        <v>439</v>
      </c>
      <c r="U34" s="32">
        <v>50</v>
      </c>
      <c r="V34" s="95">
        <f>U34*N34</f>
        <v>300</v>
      </c>
      <c r="W34" s="31" t="s">
        <v>440</v>
      </c>
      <c r="X34" s="32" t="s">
        <v>182</v>
      </c>
      <c r="Y34" s="101">
        <f>2/(20/60)</f>
        <v>6</v>
      </c>
      <c r="Z34" s="31" t="s">
        <v>119</v>
      </c>
      <c r="AA34" s="32">
        <v>3</v>
      </c>
      <c r="AB34" s="32" t="s">
        <v>441</v>
      </c>
      <c r="AC34" s="32" t="s">
        <v>333</v>
      </c>
      <c r="AD34" s="33" t="s">
        <v>442</v>
      </c>
      <c r="AE34" s="31" t="s">
        <v>447</v>
      </c>
      <c r="AF34" s="32" t="s">
        <v>448</v>
      </c>
      <c r="AG34" s="32" t="s">
        <v>449</v>
      </c>
      <c r="AH34" s="32">
        <v>20</v>
      </c>
      <c r="AI34" s="33" t="s">
        <v>194</v>
      </c>
      <c r="AJ34" s="31" t="s">
        <v>453</v>
      </c>
      <c r="AK34" s="32" t="s">
        <v>454</v>
      </c>
      <c r="AL34" s="32" t="s">
        <v>455</v>
      </c>
      <c r="AM34" s="32" t="s">
        <v>456</v>
      </c>
      <c r="AN34" s="32" t="s">
        <v>457</v>
      </c>
      <c r="AO34" s="33" t="s">
        <v>458</v>
      </c>
      <c r="AP34" s="31" t="s">
        <v>459</v>
      </c>
      <c r="AQ34" s="33" t="s">
        <v>460</v>
      </c>
      <c r="AR34" s="31" t="s">
        <v>461</v>
      </c>
      <c r="AS34" s="33" t="s">
        <v>462</v>
      </c>
      <c r="AT34" s="31" t="s">
        <v>468</v>
      </c>
      <c r="AU34" s="32" t="s">
        <v>333</v>
      </c>
      <c r="AV34" s="32"/>
      <c r="AW34" s="32" t="s">
        <v>471</v>
      </c>
      <c r="AX34" s="32" t="s">
        <v>472</v>
      </c>
      <c r="AY34" s="32" t="s">
        <v>182</v>
      </c>
      <c r="AZ34" s="32"/>
      <c r="BA34" s="32"/>
      <c r="BB34" s="32"/>
      <c r="BC34" s="32"/>
      <c r="BD34" s="63"/>
      <c r="BE34" s="33"/>
      <c r="BF34" s="37"/>
    </row>
    <row r="35" spans="1:58" ht="168.75" x14ac:dyDescent="0.25">
      <c r="A35" s="24" t="s">
        <v>168</v>
      </c>
      <c r="B35" s="25" t="s">
        <v>87</v>
      </c>
      <c r="C35" s="25" t="s">
        <v>88</v>
      </c>
      <c r="D35" s="26" t="s">
        <v>89</v>
      </c>
      <c r="E35" s="88">
        <v>52.783929999999998</v>
      </c>
      <c r="F35" s="89">
        <v>6.88687</v>
      </c>
      <c r="G35" s="24">
        <v>150</v>
      </c>
      <c r="H35" s="27" t="s">
        <v>435</v>
      </c>
      <c r="I35" s="26" t="s">
        <v>1</v>
      </c>
      <c r="J35" s="30"/>
      <c r="K35" s="24" t="s">
        <v>431</v>
      </c>
      <c r="L35" s="28" t="s">
        <v>436</v>
      </c>
      <c r="M35" s="26" t="s">
        <v>195</v>
      </c>
      <c r="N35" s="24" t="s">
        <v>437</v>
      </c>
      <c r="O35" s="26" t="s">
        <v>224</v>
      </c>
      <c r="P35" s="24" t="s">
        <v>183</v>
      </c>
      <c r="Q35" s="26" t="s">
        <v>438</v>
      </c>
      <c r="R35" s="24" t="s">
        <v>246</v>
      </c>
      <c r="S35" s="25" t="s">
        <v>443</v>
      </c>
      <c r="T35" s="25" t="s">
        <v>444</v>
      </c>
      <c r="U35" s="25">
        <v>50</v>
      </c>
      <c r="V35" s="100">
        <v>200</v>
      </c>
      <c r="W35" s="24">
        <v>20</v>
      </c>
      <c r="X35" s="25" t="s">
        <v>182</v>
      </c>
      <c r="Y35" s="105">
        <f>(U35/15.8)/(W35/60)</f>
        <v>9.4936708860759502</v>
      </c>
      <c r="Z35" s="24" t="s">
        <v>445</v>
      </c>
      <c r="AA35" s="25"/>
      <c r="AB35" s="25"/>
      <c r="AC35" s="25" t="s">
        <v>446</v>
      </c>
      <c r="AD35" s="26"/>
      <c r="AE35" s="24" t="s">
        <v>447</v>
      </c>
      <c r="AF35" s="25" t="s">
        <v>404</v>
      </c>
      <c r="AG35" s="25" t="s">
        <v>450</v>
      </c>
      <c r="AH35" s="25" t="s">
        <v>451</v>
      </c>
      <c r="AI35" s="26" t="s">
        <v>452</v>
      </c>
      <c r="AJ35" s="24" t="s">
        <v>463</v>
      </c>
      <c r="AK35" s="25" t="s">
        <v>464</v>
      </c>
      <c r="AL35" s="25" t="s">
        <v>465</v>
      </c>
      <c r="AM35" s="25" t="s">
        <v>466</v>
      </c>
      <c r="AN35" s="25" t="s">
        <v>196</v>
      </c>
      <c r="AO35" s="26" t="s">
        <v>467</v>
      </c>
      <c r="AP35" s="24"/>
      <c r="AQ35" s="26"/>
      <c r="AR35" s="24"/>
      <c r="AS35" s="26"/>
      <c r="AT35" s="24" t="s">
        <v>469</v>
      </c>
      <c r="AU35" s="75" t="s">
        <v>470</v>
      </c>
      <c r="AV35" s="25"/>
      <c r="AW35" s="25" t="s">
        <v>473</v>
      </c>
      <c r="AX35" s="75" t="s">
        <v>472</v>
      </c>
      <c r="AY35" s="25" t="s">
        <v>182</v>
      </c>
      <c r="AZ35" s="25"/>
      <c r="BA35" s="25"/>
      <c r="BB35" s="25"/>
      <c r="BC35" s="25"/>
      <c r="BD35" s="59"/>
      <c r="BE35" s="26"/>
      <c r="BF35" s="30"/>
    </row>
    <row r="36" spans="1:58" ht="69" customHeight="1" x14ac:dyDescent="0.25">
      <c r="A36" s="31" t="s">
        <v>90</v>
      </c>
      <c r="B36" s="38" t="s">
        <v>91</v>
      </c>
      <c r="C36" s="38"/>
      <c r="D36" s="39"/>
      <c r="E36" s="86">
        <v>51.419559999999997</v>
      </c>
      <c r="F36" s="87">
        <v>6.14757</v>
      </c>
      <c r="G36" s="31">
        <v>133</v>
      </c>
      <c r="H36" s="32" t="s">
        <v>478</v>
      </c>
      <c r="I36" s="33" t="s">
        <v>1</v>
      </c>
      <c r="J36" s="37"/>
      <c r="K36" s="31" t="s">
        <v>479</v>
      </c>
      <c r="L36" s="32" t="s">
        <v>480</v>
      </c>
      <c r="M36" s="33" t="s">
        <v>194</v>
      </c>
      <c r="N36" s="31">
        <v>3</v>
      </c>
      <c r="O36" s="33" t="s">
        <v>203</v>
      </c>
      <c r="P36" s="31" t="s">
        <v>183</v>
      </c>
      <c r="Q36" s="33" t="s">
        <v>488</v>
      </c>
      <c r="R36" s="31" t="s">
        <v>205</v>
      </c>
      <c r="S36" s="32" t="s">
        <v>206</v>
      </c>
      <c r="T36" s="32" t="s">
        <v>489</v>
      </c>
      <c r="U36" s="32">
        <v>21.6</v>
      </c>
      <c r="V36" s="62">
        <f>U36*N36</f>
        <v>64.800000000000011</v>
      </c>
      <c r="W36" s="31">
        <v>21</v>
      </c>
      <c r="X36" s="32" t="s">
        <v>182</v>
      </c>
      <c r="Y36" s="101">
        <f>(U36/12.7)/(W36/60)</f>
        <v>4.8593925759280099</v>
      </c>
      <c r="Z36" s="31" t="s">
        <v>314</v>
      </c>
      <c r="AA36" s="32" t="s">
        <v>494</v>
      </c>
      <c r="AB36" s="32">
        <v>25000</v>
      </c>
      <c r="AC36" s="32" t="s">
        <v>495</v>
      </c>
      <c r="AD36" s="33" t="s">
        <v>183</v>
      </c>
      <c r="AE36" s="31" t="s">
        <v>501</v>
      </c>
      <c r="AF36" s="32" t="s">
        <v>197</v>
      </c>
      <c r="AG36" s="32" t="s">
        <v>502</v>
      </c>
      <c r="AH36" s="32"/>
      <c r="AI36" s="33" t="s">
        <v>182</v>
      </c>
      <c r="AJ36" s="31" t="s">
        <v>182</v>
      </c>
      <c r="AK36" s="32" t="s">
        <v>197</v>
      </c>
      <c r="AL36" s="32" t="s">
        <v>333</v>
      </c>
      <c r="AM36" s="32" t="s">
        <v>333</v>
      </c>
      <c r="AN36" s="32" t="s">
        <v>182</v>
      </c>
      <c r="AO36" s="33" t="s">
        <v>333</v>
      </c>
      <c r="AP36" s="31" t="s">
        <v>496</v>
      </c>
      <c r="AQ36" s="33" t="s">
        <v>194</v>
      </c>
      <c r="AR36" s="31" t="s">
        <v>194</v>
      </c>
      <c r="AS36" s="33" t="s">
        <v>505</v>
      </c>
      <c r="AT36" s="31"/>
      <c r="AU36" s="32"/>
      <c r="AV36" s="32"/>
      <c r="AW36" s="32"/>
      <c r="AX36" s="32"/>
      <c r="AY36" s="32"/>
      <c r="AZ36" s="32"/>
      <c r="BA36" s="32"/>
      <c r="BB36" s="32"/>
      <c r="BC36" s="32"/>
      <c r="BD36" s="63"/>
      <c r="BE36" s="33"/>
      <c r="BF36" s="37" t="s">
        <v>508</v>
      </c>
    </row>
    <row r="37" spans="1:58" ht="56.25" x14ac:dyDescent="0.25">
      <c r="A37" s="31" t="s">
        <v>90</v>
      </c>
      <c r="B37" s="38" t="s">
        <v>92</v>
      </c>
      <c r="C37" s="38"/>
      <c r="D37" s="39"/>
      <c r="E37" s="86">
        <v>51.17942</v>
      </c>
      <c r="F37" s="87">
        <v>5.8933299999999997</v>
      </c>
      <c r="G37" s="31">
        <v>2300</v>
      </c>
      <c r="H37" s="32" t="s">
        <v>481</v>
      </c>
      <c r="I37" s="33" t="s">
        <v>173</v>
      </c>
      <c r="J37" s="37"/>
      <c r="K37" s="31" t="s">
        <v>482</v>
      </c>
      <c r="L37" s="32" t="s">
        <v>537</v>
      </c>
      <c r="M37" s="33" t="s">
        <v>195</v>
      </c>
      <c r="N37" s="31">
        <v>8</v>
      </c>
      <c r="O37" s="33" t="s">
        <v>203</v>
      </c>
      <c r="P37" s="31" t="s">
        <v>334</v>
      </c>
      <c r="Q37" s="33" t="s">
        <v>490</v>
      </c>
      <c r="R37" s="31" t="s">
        <v>205</v>
      </c>
      <c r="S37" s="32" t="s">
        <v>206</v>
      </c>
      <c r="T37" s="32" t="s">
        <v>491</v>
      </c>
      <c r="U37" s="32">
        <v>134</v>
      </c>
      <c r="V37" s="62">
        <f t="shared" ref="V37:V40" si="3">U37*N37</f>
        <v>1072</v>
      </c>
      <c r="W37" s="31">
        <v>20</v>
      </c>
      <c r="X37" s="32" t="s">
        <v>182</v>
      </c>
      <c r="Y37" s="101">
        <f>(U37/140.3)/(W37/60)</f>
        <v>2.8652886671418387</v>
      </c>
      <c r="Z37" s="31" t="s">
        <v>119</v>
      </c>
      <c r="AA37" s="32" t="s">
        <v>494</v>
      </c>
      <c r="AB37" s="32">
        <v>26000</v>
      </c>
      <c r="AC37" s="32" t="s">
        <v>496</v>
      </c>
      <c r="AD37" s="33" t="s">
        <v>334</v>
      </c>
      <c r="AE37" s="31" t="s">
        <v>501</v>
      </c>
      <c r="AF37" s="32" t="s">
        <v>197</v>
      </c>
      <c r="AG37" s="32" t="s">
        <v>502</v>
      </c>
      <c r="AH37" s="32"/>
      <c r="AI37" s="33" t="s">
        <v>182</v>
      </c>
      <c r="AJ37" s="31" t="s">
        <v>182</v>
      </c>
      <c r="AK37" s="32" t="s">
        <v>197</v>
      </c>
      <c r="AL37" s="32" t="s">
        <v>333</v>
      </c>
      <c r="AM37" s="32" t="s">
        <v>333</v>
      </c>
      <c r="AN37" s="32" t="s">
        <v>182</v>
      </c>
      <c r="AO37" s="33" t="s">
        <v>333</v>
      </c>
      <c r="AP37" s="31" t="s">
        <v>496</v>
      </c>
      <c r="AQ37" s="33" t="s">
        <v>182</v>
      </c>
      <c r="AR37" s="31" t="s">
        <v>182</v>
      </c>
      <c r="AS37" s="33" t="s">
        <v>197</v>
      </c>
      <c r="AT37" s="31"/>
      <c r="AU37" s="32"/>
      <c r="AV37" s="32"/>
      <c r="AW37" s="32"/>
      <c r="AX37" s="32"/>
      <c r="AY37" s="32"/>
      <c r="AZ37" s="32"/>
      <c r="BA37" s="32"/>
      <c r="BB37" s="32"/>
      <c r="BC37" s="32"/>
      <c r="BD37" s="63"/>
      <c r="BE37" s="33"/>
      <c r="BF37" s="37"/>
    </row>
    <row r="38" spans="1:58" ht="75" x14ac:dyDescent="0.25">
      <c r="A38" s="31" t="s">
        <v>90</v>
      </c>
      <c r="B38" s="38" t="s">
        <v>93</v>
      </c>
      <c r="C38" s="38"/>
      <c r="D38" s="39"/>
      <c r="E38" s="86">
        <v>51.083024999999999</v>
      </c>
      <c r="F38" s="87">
        <v>5.8182</v>
      </c>
      <c r="G38" s="31">
        <v>280</v>
      </c>
      <c r="H38" s="32" t="s">
        <v>483</v>
      </c>
      <c r="I38" s="33" t="s">
        <v>1</v>
      </c>
      <c r="J38" s="37"/>
      <c r="K38" s="31" t="s">
        <v>484</v>
      </c>
      <c r="L38" s="32" t="s">
        <v>202</v>
      </c>
      <c r="M38" s="33" t="s">
        <v>195</v>
      </c>
      <c r="N38" s="31">
        <v>4</v>
      </c>
      <c r="O38" s="33" t="s">
        <v>203</v>
      </c>
      <c r="P38" s="31" t="s">
        <v>183</v>
      </c>
      <c r="Q38" s="33" t="s">
        <v>204</v>
      </c>
      <c r="R38" s="31" t="s">
        <v>367</v>
      </c>
      <c r="S38" s="32" t="s">
        <v>186</v>
      </c>
      <c r="T38" s="32" t="s">
        <v>492</v>
      </c>
      <c r="U38" s="32">
        <v>40</v>
      </c>
      <c r="V38" s="62">
        <f t="shared" si="3"/>
        <v>160</v>
      </c>
      <c r="W38" s="31">
        <v>12</v>
      </c>
      <c r="X38" s="32" t="s">
        <v>182</v>
      </c>
      <c r="Y38" s="101">
        <f>(U38/12.6)/(W38/60)</f>
        <v>15.873015873015873</v>
      </c>
      <c r="Z38" s="31" t="s">
        <v>119</v>
      </c>
      <c r="AA38" s="32" t="s">
        <v>497</v>
      </c>
      <c r="AB38" s="32">
        <v>34000</v>
      </c>
      <c r="AC38" s="32" t="s">
        <v>498</v>
      </c>
      <c r="AD38" s="33" t="s">
        <v>183</v>
      </c>
      <c r="AE38" s="31" t="s">
        <v>501</v>
      </c>
      <c r="AF38" s="32" t="s">
        <v>197</v>
      </c>
      <c r="AG38" s="32" t="s">
        <v>502</v>
      </c>
      <c r="AH38" s="32"/>
      <c r="AI38" s="33" t="s">
        <v>182</v>
      </c>
      <c r="AJ38" s="31" t="s">
        <v>182</v>
      </c>
      <c r="AK38" s="32" t="s">
        <v>197</v>
      </c>
      <c r="AL38" s="32" t="s">
        <v>333</v>
      </c>
      <c r="AM38" s="32" t="s">
        <v>333</v>
      </c>
      <c r="AN38" s="32" t="s">
        <v>182</v>
      </c>
      <c r="AO38" s="33" t="s">
        <v>333</v>
      </c>
      <c r="AP38" s="31" t="s">
        <v>496</v>
      </c>
      <c r="AQ38" s="33" t="s">
        <v>182</v>
      </c>
      <c r="AR38" s="31" t="s">
        <v>197</v>
      </c>
      <c r="AS38" s="33" t="s">
        <v>197</v>
      </c>
      <c r="AT38" s="31"/>
      <c r="AU38" s="32"/>
      <c r="AV38" s="32"/>
      <c r="AW38" s="32"/>
      <c r="AX38" s="32"/>
      <c r="AY38" s="32"/>
      <c r="AZ38" s="32"/>
      <c r="BA38" s="32"/>
      <c r="BB38" s="32"/>
      <c r="BC38" s="32"/>
      <c r="BD38" s="63"/>
      <c r="BE38" s="33"/>
      <c r="BF38" s="37"/>
    </row>
    <row r="39" spans="1:58" ht="75" x14ac:dyDescent="0.25">
      <c r="A39" s="31" t="s">
        <v>90</v>
      </c>
      <c r="B39" s="38" t="s">
        <v>94</v>
      </c>
      <c r="C39" s="38"/>
      <c r="D39" s="39"/>
      <c r="E39" s="86">
        <v>51.083024999999999</v>
      </c>
      <c r="F39" s="87">
        <v>5.8182</v>
      </c>
      <c r="G39" s="31">
        <v>200</v>
      </c>
      <c r="H39" s="32" t="s">
        <v>485</v>
      </c>
      <c r="I39" s="33" t="s">
        <v>173</v>
      </c>
      <c r="J39" s="37"/>
      <c r="K39" s="31" t="s">
        <v>484</v>
      </c>
      <c r="L39" s="32" t="s">
        <v>202</v>
      </c>
      <c r="M39" s="33" t="s">
        <v>195</v>
      </c>
      <c r="N39" s="31">
        <v>3</v>
      </c>
      <c r="O39" s="33" t="s">
        <v>203</v>
      </c>
      <c r="P39" s="31" t="s">
        <v>183</v>
      </c>
      <c r="Q39" s="33" t="s">
        <v>204</v>
      </c>
      <c r="R39" s="31" t="s">
        <v>367</v>
      </c>
      <c r="S39" s="32" t="s">
        <v>186</v>
      </c>
      <c r="T39" s="32" t="s">
        <v>492</v>
      </c>
      <c r="U39" s="32">
        <v>40</v>
      </c>
      <c r="V39" s="62">
        <f t="shared" si="3"/>
        <v>120</v>
      </c>
      <c r="W39" s="31">
        <v>18</v>
      </c>
      <c r="X39" s="32" t="s">
        <v>182</v>
      </c>
      <c r="Y39" s="101">
        <f t="shared" ref="Y39" si="4">(U39/12.7)/(W39/60)</f>
        <v>10.498687664041995</v>
      </c>
      <c r="Z39" s="31" t="s">
        <v>119</v>
      </c>
      <c r="AA39" s="32" t="s">
        <v>497</v>
      </c>
      <c r="AB39" s="32">
        <v>34000</v>
      </c>
      <c r="AC39" s="32" t="s">
        <v>498</v>
      </c>
      <c r="AD39" s="33" t="s">
        <v>183</v>
      </c>
      <c r="AE39" s="31" t="s">
        <v>501</v>
      </c>
      <c r="AF39" s="32" t="s">
        <v>197</v>
      </c>
      <c r="AG39" s="32" t="s">
        <v>502</v>
      </c>
      <c r="AH39" s="32"/>
      <c r="AI39" s="33" t="s">
        <v>182</v>
      </c>
      <c r="AJ39" s="31" t="s">
        <v>182</v>
      </c>
      <c r="AK39" s="32" t="s">
        <v>197</v>
      </c>
      <c r="AL39" s="32" t="s">
        <v>333</v>
      </c>
      <c r="AM39" s="32" t="s">
        <v>333</v>
      </c>
      <c r="AN39" s="32" t="s">
        <v>182</v>
      </c>
      <c r="AO39" s="33" t="s">
        <v>333</v>
      </c>
      <c r="AP39" s="31" t="s">
        <v>496</v>
      </c>
      <c r="AQ39" s="33" t="s">
        <v>182</v>
      </c>
      <c r="AR39" s="31" t="s">
        <v>197</v>
      </c>
      <c r="AS39" s="33" t="s">
        <v>197</v>
      </c>
      <c r="AT39" s="31"/>
      <c r="AU39" s="32"/>
      <c r="AV39" s="32"/>
      <c r="AW39" s="32"/>
      <c r="AX39" s="32"/>
      <c r="AY39" s="32"/>
      <c r="AZ39" s="32"/>
      <c r="BA39" s="32"/>
      <c r="BB39" s="32"/>
      <c r="BC39" s="32"/>
      <c r="BD39" s="63"/>
      <c r="BE39" s="33"/>
      <c r="BF39" s="37"/>
    </row>
    <row r="40" spans="1:58" ht="132" thickBot="1" x14ac:dyDescent="0.3">
      <c r="A40" s="40" t="s">
        <v>474</v>
      </c>
      <c r="B40" s="41" t="s">
        <v>475</v>
      </c>
      <c r="C40" s="41" t="s">
        <v>476</v>
      </c>
      <c r="D40" s="42" t="s">
        <v>477</v>
      </c>
      <c r="E40" s="90">
        <v>50.852694</v>
      </c>
      <c r="F40" s="91">
        <v>5.9926349999999999</v>
      </c>
      <c r="G40" s="40">
        <v>125</v>
      </c>
      <c r="H40" s="44"/>
      <c r="I40" s="43" t="s">
        <v>1</v>
      </c>
      <c r="J40" s="45"/>
      <c r="K40" s="40" t="s">
        <v>486</v>
      </c>
      <c r="L40" s="44" t="s">
        <v>487</v>
      </c>
      <c r="M40" s="43" t="s">
        <v>195</v>
      </c>
      <c r="N40" s="40">
        <v>1</v>
      </c>
      <c r="O40" s="43" t="s">
        <v>192</v>
      </c>
      <c r="P40" s="40" t="s">
        <v>334</v>
      </c>
      <c r="Q40" s="43" t="s">
        <v>490</v>
      </c>
      <c r="R40" s="40" t="s">
        <v>205</v>
      </c>
      <c r="S40" s="44" t="s">
        <v>206</v>
      </c>
      <c r="T40" s="44" t="s">
        <v>493</v>
      </c>
      <c r="U40" s="44">
        <v>70</v>
      </c>
      <c r="V40" s="102">
        <f t="shared" si="3"/>
        <v>70</v>
      </c>
      <c r="W40" s="40">
        <v>20</v>
      </c>
      <c r="X40" s="44" t="s">
        <v>182</v>
      </c>
      <c r="Y40" s="107">
        <f>(U40/35)/(W40/60)</f>
        <v>6</v>
      </c>
      <c r="Z40" s="40" t="s">
        <v>499</v>
      </c>
      <c r="AA40" s="44" t="s">
        <v>500</v>
      </c>
      <c r="AB40" s="44">
        <v>16000</v>
      </c>
      <c r="AC40" s="44" t="s">
        <v>498</v>
      </c>
      <c r="AD40" s="43" t="s">
        <v>334</v>
      </c>
      <c r="AE40" s="40" t="s">
        <v>503</v>
      </c>
      <c r="AF40" s="44" t="s">
        <v>197</v>
      </c>
      <c r="AG40" s="44" t="s">
        <v>504</v>
      </c>
      <c r="AH40" s="44"/>
      <c r="AI40" s="43" t="s">
        <v>196</v>
      </c>
      <c r="AJ40" s="40" t="s">
        <v>196</v>
      </c>
      <c r="AK40" s="44" t="s">
        <v>192</v>
      </c>
      <c r="AL40" s="44" t="s">
        <v>333</v>
      </c>
      <c r="AM40" s="44" t="s">
        <v>333</v>
      </c>
      <c r="AN40" s="44" t="s">
        <v>196</v>
      </c>
      <c r="AO40" s="43" t="s">
        <v>333</v>
      </c>
      <c r="AP40" s="40" t="s">
        <v>506</v>
      </c>
      <c r="AQ40" s="43" t="s">
        <v>196</v>
      </c>
      <c r="AR40" s="40" t="s">
        <v>195</v>
      </c>
      <c r="AS40" s="43" t="s">
        <v>507</v>
      </c>
      <c r="AT40" s="80"/>
      <c r="AU40" s="81"/>
      <c r="AV40" s="81"/>
      <c r="AW40" s="81"/>
      <c r="AX40" s="81"/>
      <c r="AY40" s="81"/>
      <c r="AZ40" s="81"/>
      <c r="BA40" s="81"/>
      <c r="BB40" s="81"/>
      <c r="BC40" s="81"/>
      <c r="BD40" s="113"/>
      <c r="BE40" s="79"/>
      <c r="BF40" s="82"/>
    </row>
  </sheetData>
  <mergeCells count="13">
    <mergeCell ref="AJ1:AO1"/>
    <mergeCell ref="AP1:AQ1"/>
    <mergeCell ref="AR1:AS1"/>
    <mergeCell ref="AT1:BE1"/>
    <mergeCell ref="A1:D1"/>
    <mergeCell ref="E1:F1"/>
    <mergeCell ref="G1:H1"/>
    <mergeCell ref="K1:M1"/>
    <mergeCell ref="N1:O1"/>
    <mergeCell ref="R1:V1"/>
    <mergeCell ref="W1:Y1"/>
    <mergeCell ref="Z1:AD1"/>
    <mergeCell ref="AE1:AI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Overzicht AKF NL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Siegers, Wolter</dc:creator>
  <cp:lastModifiedBy>Siegers, Wolter</cp:lastModifiedBy>
  <dcterms:created xsi:type="dcterms:W3CDTF">2023-11-30T10:17:45Z</dcterms:created>
  <dcterms:modified xsi:type="dcterms:W3CDTF">2025-04-23T09:53:08Z</dcterms:modified>
</cp:coreProperties>
</file>